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tables/table4.xml" ContentType="application/vnd.openxmlformats-officedocument.spreadsheetml.table+xml"/>
  <Override PartName="/xl/drawings/drawing2.xml" ContentType="application/vnd.openxmlformats-officedocument.drawing+xml"/>
  <Override PartName="/xl/slicers/slicer2.xml" ContentType="application/vnd.ms-excel.slicer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arce\Nextcloud\8.3 Proyectos\Proyectos\"/>
    </mc:Choice>
  </mc:AlternateContent>
  <xr:revisionPtr revIDLastSave="0" documentId="13_ncr:1_{5B281B3B-2BFE-492D-B35C-688B56587195}" xr6:coauthVersionLast="47" xr6:coauthVersionMax="47" xr10:uidLastSave="{00000000-0000-0000-0000-000000000000}"/>
  <bookViews>
    <workbookView xWindow="-108" yWindow="-108" windowWidth="23256" windowHeight="12576" tabRatio="897" activeTab="4" xr2:uid="{65936EF0-BD06-4513-B3BD-6E5561B854DD}"/>
  </bookViews>
  <sheets>
    <sheet name="Proyectos" sheetId="3" r:id="rId1"/>
    <sheet name="Facturas" sheetId="20" r:id="rId2"/>
    <sheet name="Tablas" sheetId="27" r:id="rId3"/>
    <sheet name="DASHBOARD" sheetId="28" r:id="rId4"/>
    <sheet name="OS" sheetId="25" r:id="rId5"/>
    <sheet name="Para logist" sheetId="24" r:id="rId6"/>
    <sheet name="TD" sheetId="21" r:id="rId7"/>
    <sheet name="Para Contab" sheetId="26" r:id="rId8"/>
    <sheet name="Resumen" sheetId="23" r:id="rId9"/>
    <sheet name="Evaluación" sheetId="19" r:id="rId10"/>
    <sheet name="Cronograma" sheetId="17" r:id="rId11"/>
    <sheet name="Proyectos 2022" sheetId="7" r:id="rId12"/>
    <sheet name="Consolidado" sheetId="11" r:id="rId13"/>
    <sheet name="Reorganización" sheetId="18" r:id="rId14"/>
    <sheet name="Listado" sheetId="1" r:id="rId15"/>
    <sheet name="Hoja1" sheetId="29" r:id="rId16"/>
  </sheets>
  <externalReferences>
    <externalReference r:id="rId17"/>
  </externalReferences>
  <definedNames>
    <definedName name="_xlnm._FilterDatabase" localSheetId="12" hidden="1">Consolidado!$A$1:$AJ$82</definedName>
    <definedName name="_xlnm._FilterDatabase" localSheetId="10" hidden="1">Cronograma!$A$3:$CB$28</definedName>
    <definedName name="_xlnm._FilterDatabase" localSheetId="9" hidden="1">Evaluación!$A$2:$BY$63</definedName>
    <definedName name="_xlnm._FilterDatabase" localSheetId="1" hidden="1">Facturas!$B$2:$X$144</definedName>
    <definedName name="_xlnm._FilterDatabase" localSheetId="4" hidden="1">OS!$F$1:$S$85</definedName>
    <definedName name="_xlnm._FilterDatabase" localSheetId="0" hidden="1">Proyectos!$B$2:$AD$42</definedName>
    <definedName name="_xlnm._FilterDatabase" localSheetId="11" hidden="1">'Proyectos 2022'!$A$2:$BW$31</definedName>
    <definedName name="_xlnm._FilterDatabase" localSheetId="13" hidden="1">Reorganización!$B$4:$E$23</definedName>
    <definedName name="_xlcn.WorksheetConnection_Consolidadoproyectos.xlsxTabla11" hidden="1">Tabla1[]</definedName>
    <definedName name="_xlcn.WorksheetConnection_Consolidadoproyectos.xlsxTabla21" hidden="1">Tabla2[]</definedName>
    <definedName name="A">#REF!</definedName>
    <definedName name="_xlnm.Print_Area" localSheetId="1">Facturas!$A$1:$X$137</definedName>
    <definedName name="COMPRAS">#REF!</definedName>
    <definedName name="comprits">#REF!</definedName>
    <definedName name="consejeros">#REF!</definedName>
    <definedName name="Forma_de_pago">[1]Data!$B$6:$J$13</definedName>
    <definedName name="GASTOS" localSheetId="10">#REF!</definedName>
    <definedName name="GASTOS" localSheetId="1">#REF!</definedName>
    <definedName name="GASTOS">#REF!</definedName>
    <definedName name="SASA">#REF!</definedName>
    <definedName name="SegmentaciónDeDatos_Año_Proy">#N/A</definedName>
    <definedName name="SegmentaciónDeDatos_Año_Proy1">#N/A</definedName>
    <definedName name="SegmentaciónDeDatos_Año_Proy2">#N/A</definedName>
    <definedName name="tabla">#REF!</definedName>
  </definedNames>
  <calcPr calcId="191029"/>
  <pivotCaches>
    <pivotCache cacheId="0" r:id="rId18"/>
    <pivotCache cacheId="1" r:id="rId19"/>
    <pivotCache cacheId="2" r:id="rId20"/>
    <pivotCache cacheId="3" r:id="rId21"/>
    <pivotCache cacheId="4" r:id="rId22"/>
    <pivotCache cacheId="5" r:id="rId23"/>
    <pivotCache cacheId="6" r:id="rId24"/>
    <pivotCache cacheId="7" r:id="rId25"/>
    <pivotCache cacheId="8" r:id="rId26"/>
    <pivotCache cacheId="9" r:id="rId27"/>
    <pivotCache cacheId="10" r:id="rId28"/>
    <pivotCache cacheId="11" r:id="rId29"/>
    <pivotCache cacheId="12" r:id="rId30"/>
    <pivotCache cacheId="13" r:id="rId31"/>
  </pivotCaches>
  <extLst>
    <ext xmlns:x14="http://schemas.microsoft.com/office/spreadsheetml/2009/9/main" uri="{876F7934-8845-4945-9796-88D515C7AA90}">
      <x14:pivotCaches>
        <pivotCache cacheId="14" r:id="rId32"/>
      </x14:pivotCaches>
    </ext>
    <ext xmlns:x14="http://schemas.microsoft.com/office/spreadsheetml/2009/9/main" uri="{BBE1A952-AA13-448e-AADC-164F8A28A991}">
      <x14:slicerCaches>
        <x14:slicerCache r:id="rId33"/>
        <x14:slicerCache r:id="rId34"/>
        <x14:slicerCache r:id="rId3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2" name="Tabla2" connection="WorksheetConnection_Consolidado proyectos.xlsx!Tabla2"/>
          <x15:modelTable id="Tabla1" name="Tabla1" connection="WorksheetConnection_Consolidado proyectos.xlsx!Tabla1"/>
        </x15:modelTables>
        <x15:modelRelationships>
          <x15:modelRelationship fromTable="Tabla2" fromColumn="Llave" toTable="Tabla1" toColumn="Llave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Tabla2" columnName="Fecha" columnId="Fecha">
                <x16:calculatedTimeColumn columnName="Fecha (año)" columnId="Fecha (año)" contentType="years" isSelected="1"/>
                <x16:calculatedTimeColumn columnName="Fecha (trimestre)" columnId="Fecha (trimestre)" contentType="quarters" isSelected="1"/>
                <x16:calculatedTimeColumn columnName="Fecha (índice de meses)" columnId="Fecha (índice de meses)" contentType="monthsindex" isSelected="1"/>
                <x16:calculatedTimeColumn columnName="Fecha (mes)" columnId="Fecha (mes)" contentType="months" isSelected="1"/>
              </x16:modelTimeGrouping>
              <x16:modelTimeGrouping tableName="Tabla2" columnName="mm.aa" columnId="mm aa">
                <x16:calculatedTimeColumn columnName="mm.aa (año)" columnId="mm aa (año)" contentType="years" isSelected="1"/>
                <x16:calculatedTimeColumn columnName="mm.aa (trimestre)" columnId="mm aa (trimestre)" contentType="quarters" isSelected="1"/>
                <x16:calculatedTimeColumn columnName="mm.aa (índice de meses)" columnId="mm aa (índice de meses)" contentType="monthsindex" isSelected="1"/>
                <x16:calculatedTimeColumn columnName="mm.aa (mes)" columnId="mm aa (mes)" contentType="months" isSelected="1"/>
              </x16:modelTimeGrouping>
              <x16:modelTimeGrouping tableName="Tabla2" columnName="Mes aprob" columnId="Mes aprob">
                <x16:calculatedTimeColumn columnName="Mes aprob (año)" columnId="Mes aprob (año)" contentType="years" isSelected="0"/>
                <x16:calculatedTimeColumn columnName="Mes aprob (trimestre)" columnId="Mes aprob (trimestre)" contentType="quarters" isSelected="0"/>
                <x16:calculatedTimeColumn columnName="Mes aprob (índice de meses)" columnId="Mes aprob (índice de meses)" contentType="monthsindex" isSelected="1"/>
                <x16:calculatedTimeColumn columnName="Mes aprob (mes)" columnId="Mes aprob (mes)" contentType="months" isSelected="1"/>
              </x16:modelTimeGrouping>
              <x16:modelTimeGrouping tableName="Tabla1" columnName="Fecha aprobación" columnId="Fecha aprobación">
                <x16:calculatedTimeColumn columnName="Fecha aprobación (índice de meses)" columnId="Fecha aprobación (índice de meses)" contentType="monthsindex" isSelected="1"/>
                <x16:calculatedTimeColumn columnName="Fecha aprobación (mes)" columnId="Fecha aprobación (mes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0" i="25" l="1"/>
  <c r="I80" i="25"/>
  <c r="J80" i="25"/>
  <c r="P85" i="25"/>
  <c r="P84" i="25"/>
  <c r="P83" i="25"/>
  <c r="P82" i="25"/>
  <c r="O84" i="25"/>
  <c r="O85" i="25"/>
  <c r="O83" i="25"/>
  <c r="O82" i="25"/>
  <c r="H85" i="25"/>
  <c r="I85" i="25"/>
  <c r="J85" i="25"/>
  <c r="H83" i="25"/>
  <c r="I83" i="25"/>
  <c r="J83" i="25"/>
  <c r="H84" i="25"/>
  <c r="I84" i="25"/>
  <c r="J84" i="25"/>
  <c r="J82" i="25"/>
  <c r="I82" i="25"/>
  <c r="H82" i="25"/>
  <c r="I42" i="3"/>
  <c r="I79" i="3" s="1"/>
  <c r="Y42" i="3"/>
  <c r="W42" i="3"/>
  <c r="X42" i="3" s="1"/>
  <c r="AA42" i="3"/>
  <c r="T79" i="3"/>
  <c r="J79" i="3"/>
  <c r="P144" i="20"/>
  <c r="V144" i="20"/>
  <c r="W144" i="20"/>
  <c r="H81" i="25"/>
  <c r="I81" i="25"/>
  <c r="J81" i="25"/>
  <c r="X19" i="27"/>
  <c r="X2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W121" i="20"/>
  <c r="I34" i="3"/>
  <c r="T139" i="20"/>
  <c r="M143" i="20"/>
  <c r="P143" i="20" s="1"/>
  <c r="M142" i="20"/>
  <c r="M141" i="20"/>
  <c r="P141" i="20" s="1"/>
  <c r="P142" i="20"/>
  <c r="W142" i="20"/>
  <c r="W143" i="20"/>
  <c r="W141" i="20"/>
  <c r="P76" i="25"/>
  <c r="P77" i="25"/>
  <c r="P78" i="25"/>
  <c r="O78" i="25"/>
  <c r="O77" i="25"/>
  <c r="O76" i="25"/>
  <c r="H77" i="25"/>
  <c r="I77" i="25"/>
  <c r="J77" i="25"/>
  <c r="H76" i="25"/>
  <c r="I76" i="25"/>
  <c r="J76" i="25"/>
  <c r="I41" i="3"/>
  <c r="Y41" i="3"/>
  <c r="AA41" i="3"/>
  <c r="P140" i="20"/>
  <c r="V140" i="20"/>
  <c r="W140" i="20"/>
  <c r="H75" i="25"/>
  <c r="I75" i="25"/>
  <c r="J75" i="25"/>
  <c r="T123" i="20"/>
  <c r="AA40" i="3"/>
  <c r="I40" i="3"/>
  <c r="Y40" i="3"/>
  <c r="P138" i="20"/>
  <c r="P139" i="20"/>
  <c r="W139" i="20"/>
  <c r="V138" i="20"/>
  <c r="W138" i="20"/>
  <c r="I42" i="27"/>
  <c r="I28" i="27"/>
  <c r="I40" i="27"/>
  <c r="I39" i="27"/>
  <c r="I38" i="27"/>
  <c r="I37" i="27"/>
  <c r="I33" i="27"/>
  <c r="I32" i="27"/>
  <c r="I30" i="27"/>
  <c r="I29" i="27"/>
  <c r="I41" i="27"/>
  <c r="I27" i="27"/>
  <c r="J42" i="27"/>
  <c r="J41" i="27"/>
  <c r="I36" i="27"/>
  <c r="I35" i="27"/>
  <c r="I34" i="27"/>
  <c r="I31" i="27"/>
  <c r="I43" i="27"/>
  <c r="N21" i="27"/>
  <c r="V29" i="27"/>
  <c r="V42" i="3" l="1"/>
  <c r="V30" i="27"/>
  <c r="N141" i="20"/>
  <c r="N142" i="20" s="1"/>
  <c r="N143" i="20" s="1"/>
  <c r="V41" i="3"/>
  <c r="V40" i="3"/>
  <c r="V39" i="3" l="1"/>
  <c r="V38" i="3"/>
  <c r="I39" i="3"/>
  <c r="AA39" i="3"/>
  <c r="Y39" i="3" l="1"/>
  <c r="T122" i="20"/>
  <c r="T121" i="20" l="1"/>
  <c r="T134" i="20" l="1"/>
  <c r="T136" i="20"/>
  <c r="T120" i="20"/>
  <c r="I38" i="3"/>
  <c r="Y38" i="3"/>
  <c r="AA38" i="3"/>
  <c r="I37" i="3"/>
  <c r="V37" i="3"/>
  <c r="AA37" i="3"/>
  <c r="T100" i="20"/>
  <c r="T105" i="20"/>
  <c r="M21" i="27"/>
  <c r="Y37" i="3" l="1"/>
  <c r="I5" i="27"/>
  <c r="H12" i="27"/>
  <c r="H10" i="27"/>
  <c r="H9" i="27"/>
  <c r="H15" i="27"/>
  <c r="H14" i="27"/>
  <c r="H7" i="27"/>
  <c r="H11" i="27"/>
  <c r="E21" i="27"/>
  <c r="I4" i="27"/>
  <c r="H21" i="27"/>
  <c r="K21" i="27"/>
  <c r="H13" i="27"/>
  <c r="H5" i="27"/>
  <c r="H4" i="27"/>
  <c r="B21" i="27"/>
  <c r="H6" i="27"/>
  <c r="H8" i="27"/>
  <c r="H16" i="27" l="1"/>
  <c r="I16" i="27"/>
  <c r="AA14" i="3" l="1"/>
  <c r="B1" i="28"/>
  <c r="W32" i="20" l="1"/>
  <c r="P44" i="20"/>
  <c r="N137" i="20"/>
  <c r="N136" i="20"/>
  <c r="N135" i="20"/>
  <c r="N134" i="20"/>
  <c r="N131" i="20"/>
  <c r="N130" i="20"/>
  <c r="T94" i="20" l="1"/>
  <c r="T95" i="20"/>
  <c r="T96" i="20"/>
  <c r="T99" i="20"/>
  <c r="T132" i="20"/>
  <c r="T91" i="20"/>
  <c r="T98" i="20"/>
  <c r="T110" i="20"/>
  <c r="T108" i="20"/>
  <c r="T103" i="20"/>
  <c r="T104" i="20"/>
  <c r="T111" i="20"/>
  <c r="T118" i="20"/>
  <c r="T113" i="20"/>
  <c r="P136" i="20" l="1"/>
  <c r="P137" i="20"/>
  <c r="H70" i="25"/>
  <c r="I70" i="25"/>
  <c r="J70" i="25"/>
  <c r="J68" i="25"/>
  <c r="J69" i="25"/>
  <c r="J71" i="25"/>
  <c r="J72" i="25"/>
  <c r="J73" i="25"/>
  <c r="J74" i="25"/>
  <c r="J78" i="25"/>
  <c r="I68" i="25"/>
  <c r="I69" i="25"/>
  <c r="I71" i="25"/>
  <c r="I72" i="25"/>
  <c r="I73" i="25"/>
  <c r="I74" i="25"/>
  <c r="I78" i="25"/>
  <c r="H68" i="25"/>
  <c r="H69" i="25"/>
  <c r="H71" i="25"/>
  <c r="H72" i="25"/>
  <c r="H73" i="25"/>
  <c r="H74" i="25"/>
  <c r="H78" i="25"/>
  <c r="H67" i="25"/>
  <c r="I67" i="25"/>
  <c r="J67" i="25"/>
  <c r="P96" i="20"/>
  <c r="P131" i="20"/>
  <c r="W131" i="20"/>
  <c r="H66" i="25"/>
  <c r="I66" i="25"/>
  <c r="J66" i="25"/>
  <c r="I65" i="25"/>
  <c r="H65" i="25"/>
  <c r="J65" i="25"/>
  <c r="N119" i="20"/>
  <c r="P119" i="20"/>
  <c r="N120" i="20"/>
  <c r="P120" i="20"/>
  <c r="N121" i="20"/>
  <c r="P121" i="20"/>
  <c r="N122" i="20"/>
  <c r="P122" i="20"/>
  <c r="N123" i="20"/>
  <c r="P123" i="20"/>
  <c r="N124" i="20"/>
  <c r="P124" i="20"/>
  <c r="N125" i="20"/>
  <c r="P125" i="20"/>
  <c r="N126" i="20"/>
  <c r="P126" i="20"/>
  <c r="N127" i="20"/>
  <c r="P127" i="20"/>
  <c r="N128" i="20"/>
  <c r="P128" i="20"/>
  <c r="N129" i="20"/>
  <c r="P129" i="20"/>
  <c r="H62" i="25"/>
  <c r="I62" i="25"/>
  <c r="J62" i="25"/>
  <c r="Q62" i="25"/>
  <c r="H63" i="25"/>
  <c r="I63" i="25"/>
  <c r="J63" i="25"/>
  <c r="Q63" i="25"/>
  <c r="H64" i="25"/>
  <c r="I64" i="25"/>
  <c r="J64" i="25"/>
  <c r="Q64" i="25"/>
  <c r="H54" i="25"/>
  <c r="I54" i="25"/>
  <c r="J54" i="25"/>
  <c r="Q54" i="25"/>
  <c r="H55" i="25"/>
  <c r="I55" i="25"/>
  <c r="J55" i="25"/>
  <c r="Q55" i="25"/>
  <c r="H56" i="25"/>
  <c r="I56" i="25"/>
  <c r="J56" i="25"/>
  <c r="Q56" i="25"/>
  <c r="H57" i="25"/>
  <c r="I57" i="25"/>
  <c r="J57" i="25"/>
  <c r="Q57" i="25"/>
  <c r="H58" i="25"/>
  <c r="I58" i="25"/>
  <c r="J58" i="25"/>
  <c r="Q58" i="25"/>
  <c r="H59" i="25"/>
  <c r="I59" i="25"/>
  <c r="J59" i="25"/>
  <c r="Q59" i="25"/>
  <c r="H60" i="25"/>
  <c r="I60" i="25"/>
  <c r="J60" i="25"/>
  <c r="Q60" i="25"/>
  <c r="H61" i="25"/>
  <c r="I61" i="25"/>
  <c r="J61" i="25"/>
  <c r="Q61" i="25"/>
  <c r="P37" i="20"/>
  <c r="P118" i="20"/>
  <c r="N118" i="20"/>
  <c r="Q53" i="25"/>
  <c r="I53" i="25"/>
  <c r="H53" i="25"/>
  <c r="J53" i="25"/>
  <c r="P130" i="20"/>
  <c r="P132" i="20"/>
  <c r="P133" i="20"/>
  <c r="P134" i="20"/>
  <c r="P135" i="20"/>
  <c r="W120" i="20"/>
  <c r="W122" i="20"/>
  <c r="W123" i="20"/>
  <c r="W124" i="20"/>
  <c r="W125" i="20"/>
  <c r="W126" i="20"/>
  <c r="W127" i="20"/>
  <c r="W128" i="20"/>
  <c r="W129" i="20"/>
  <c r="W130" i="20"/>
  <c r="W132" i="20"/>
  <c r="W133" i="20"/>
  <c r="W134" i="20"/>
  <c r="W135" i="20"/>
  <c r="W136" i="20"/>
  <c r="W137" i="20"/>
  <c r="Q15" i="25" l="1"/>
  <c r="Q16" i="25"/>
  <c r="Q17" i="25"/>
  <c r="Q18" i="25"/>
  <c r="Q19" i="25"/>
  <c r="Q20" i="25"/>
  <c r="Q21" i="25"/>
  <c r="Q22" i="25"/>
  <c r="Q23" i="25"/>
  <c r="Q24" i="25"/>
  <c r="Q25" i="25"/>
  <c r="Q26" i="25"/>
  <c r="Q27" i="25"/>
  <c r="Q28" i="25"/>
  <c r="Q29" i="25"/>
  <c r="Q30" i="25"/>
  <c r="Q31" i="25"/>
  <c r="Q32" i="25"/>
  <c r="Q33" i="25"/>
  <c r="Q34" i="25"/>
  <c r="Q35" i="25"/>
  <c r="Q36" i="25"/>
  <c r="Q37" i="25"/>
  <c r="Q38" i="25"/>
  <c r="Q39" i="25"/>
  <c r="Q40" i="25"/>
  <c r="Q41" i="25"/>
  <c r="Q42" i="25"/>
  <c r="Q43" i="25"/>
  <c r="Q44" i="25"/>
  <c r="Q45" i="25"/>
  <c r="Q46" i="25"/>
  <c r="Q47" i="25"/>
  <c r="Q48" i="25"/>
  <c r="Q49" i="25"/>
  <c r="Q50" i="25"/>
  <c r="Q51" i="25"/>
  <c r="Q52" i="25"/>
  <c r="Q14" i="25"/>
  <c r="F51" i="25"/>
  <c r="H51" i="25"/>
  <c r="I51" i="25"/>
  <c r="J51" i="25"/>
  <c r="K51" i="25"/>
  <c r="L51" i="25"/>
  <c r="F52" i="25"/>
  <c r="H52" i="25"/>
  <c r="I52" i="25"/>
  <c r="J52" i="25"/>
  <c r="K52" i="25"/>
  <c r="L52" i="25"/>
  <c r="M117" i="20"/>
  <c r="M116" i="20"/>
  <c r="M115" i="20"/>
  <c r="M114" i="20"/>
  <c r="M113" i="20"/>
  <c r="M109" i="20" l="1"/>
  <c r="M108" i="20"/>
  <c r="M107" i="20"/>
  <c r="M106" i="20"/>
  <c r="M105" i="20"/>
  <c r="M104" i="20"/>
  <c r="M103" i="20"/>
  <c r="M102" i="20"/>
  <c r="M101" i="20"/>
  <c r="M100" i="20"/>
  <c r="M99" i="20"/>
  <c r="M98" i="20"/>
  <c r="M112" i="20"/>
  <c r="M111" i="20"/>
  <c r="M110" i="20"/>
  <c r="P116" i="20"/>
  <c r="P117" i="20"/>
  <c r="W116" i="20"/>
  <c r="W117" i="20"/>
  <c r="W118" i="20"/>
  <c r="W119" i="20"/>
  <c r="F46" i="25"/>
  <c r="H46" i="25"/>
  <c r="I46" i="25"/>
  <c r="J46" i="25"/>
  <c r="K46" i="25"/>
  <c r="L46" i="25"/>
  <c r="F47" i="25"/>
  <c r="H47" i="25"/>
  <c r="I47" i="25"/>
  <c r="J47" i="25"/>
  <c r="K47" i="25"/>
  <c r="L47" i="25"/>
  <c r="F48" i="25"/>
  <c r="H48" i="25"/>
  <c r="I48" i="25"/>
  <c r="J48" i="25"/>
  <c r="K48" i="25"/>
  <c r="L48" i="25"/>
  <c r="F49" i="25"/>
  <c r="H49" i="25"/>
  <c r="I49" i="25"/>
  <c r="J49" i="25"/>
  <c r="K49" i="25"/>
  <c r="L49" i="25"/>
  <c r="F50" i="25"/>
  <c r="H50" i="25"/>
  <c r="I50" i="25"/>
  <c r="J50" i="25"/>
  <c r="K50" i="25"/>
  <c r="L50" i="25"/>
  <c r="F39" i="25"/>
  <c r="H39" i="25"/>
  <c r="I39" i="25"/>
  <c r="J39" i="25"/>
  <c r="K39" i="25"/>
  <c r="L39" i="25"/>
  <c r="F40" i="25"/>
  <c r="H40" i="25"/>
  <c r="I40" i="25"/>
  <c r="J40" i="25"/>
  <c r="K40" i="25"/>
  <c r="L40" i="25"/>
  <c r="F41" i="25"/>
  <c r="H41" i="25"/>
  <c r="I41" i="25"/>
  <c r="J41" i="25"/>
  <c r="K41" i="25"/>
  <c r="L41" i="25"/>
  <c r="F42" i="25"/>
  <c r="H42" i="25"/>
  <c r="I42" i="25"/>
  <c r="J42" i="25"/>
  <c r="K42" i="25"/>
  <c r="L42" i="25"/>
  <c r="F43" i="25"/>
  <c r="H43" i="25"/>
  <c r="I43" i="25"/>
  <c r="J43" i="25"/>
  <c r="K43" i="25"/>
  <c r="L43" i="25"/>
  <c r="F44" i="25"/>
  <c r="H44" i="25"/>
  <c r="I44" i="25"/>
  <c r="J44" i="25"/>
  <c r="K44" i="25"/>
  <c r="L44" i="25"/>
  <c r="F45" i="25"/>
  <c r="H45" i="25"/>
  <c r="I45" i="25"/>
  <c r="J45" i="25"/>
  <c r="K45" i="25"/>
  <c r="L45" i="25"/>
  <c r="F33" i="25"/>
  <c r="H33" i="25"/>
  <c r="I33" i="25"/>
  <c r="J33" i="25"/>
  <c r="K33" i="25"/>
  <c r="L33" i="25"/>
  <c r="F34" i="25"/>
  <c r="H34" i="25"/>
  <c r="I34" i="25"/>
  <c r="J34" i="25"/>
  <c r="K34" i="25"/>
  <c r="L34" i="25"/>
  <c r="F35" i="25"/>
  <c r="H35" i="25"/>
  <c r="I35" i="25"/>
  <c r="J35" i="25"/>
  <c r="K35" i="25"/>
  <c r="L35" i="25"/>
  <c r="F36" i="25"/>
  <c r="H36" i="25"/>
  <c r="I36" i="25"/>
  <c r="J36" i="25"/>
  <c r="K36" i="25"/>
  <c r="L36" i="25"/>
  <c r="F37" i="25"/>
  <c r="H37" i="25"/>
  <c r="I37" i="25"/>
  <c r="J37" i="25"/>
  <c r="K37" i="25"/>
  <c r="L37" i="25"/>
  <c r="F38" i="25"/>
  <c r="H38" i="25"/>
  <c r="I38" i="25"/>
  <c r="J38" i="25"/>
  <c r="K38" i="25"/>
  <c r="L38" i="25"/>
  <c r="P113" i="20"/>
  <c r="P114" i="20"/>
  <c r="P115" i="20"/>
  <c r="W113" i="20"/>
  <c r="W114" i="20"/>
  <c r="W115" i="20"/>
  <c r="O49" i="25" l="1"/>
  <c r="P49" i="25" s="1"/>
  <c r="O48" i="25"/>
  <c r="P48" i="25" s="1"/>
  <c r="O50" i="25"/>
  <c r="P50" i="25" s="1"/>
  <c r="O52" i="25"/>
  <c r="P52" i="25" s="1"/>
  <c r="O51" i="25"/>
  <c r="P51" i="25" s="1"/>
  <c r="P110" i="20"/>
  <c r="P111" i="20"/>
  <c r="P112" i="20"/>
  <c r="W110" i="20"/>
  <c r="W111" i="20"/>
  <c r="W112" i="20"/>
  <c r="O45" i="25" l="1"/>
  <c r="P45" i="25" s="1"/>
  <c r="O46" i="25"/>
  <c r="P46" i="25" s="1"/>
  <c r="O47" i="25"/>
  <c r="P47" i="25" s="1"/>
  <c r="P100" i="20"/>
  <c r="P101" i="20"/>
  <c r="P102" i="20"/>
  <c r="P103" i="20"/>
  <c r="P104" i="20"/>
  <c r="W100" i="20"/>
  <c r="W101" i="20"/>
  <c r="W102" i="20"/>
  <c r="W103" i="20"/>
  <c r="W104" i="20"/>
  <c r="F4" i="25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" i="25"/>
  <c r="F2" i="25"/>
  <c r="O39" i="25" l="1"/>
  <c r="P39" i="25" s="1"/>
  <c r="O38" i="25"/>
  <c r="P38" i="25" s="1"/>
  <c r="O37" i="25"/>
  <c r="P37" i="25" s="1"/>
  <c r="O36" i="25"/>
  <c r="P36" i="25" s="1"/>
  <c r="O35" i="25"/>
  <c r="P35" i="25" s="1"/>
  <c r="W96" i="20"/>
  <c r="W97" i="20"/>
  <c r="H32" i="25" l="1"/>
  <c r="I32" i="25"/>
  <c r="J32" i="25"/>
  <c r="K32" i="25"/>
  <c r="L32" i="25"/>
  <c r="M97" i="20"/>
  <c r="P97" i="20" s="1"/>
  <c r="H31" i="25"/>
  <c r="I31" i="25"/>
  <c r="M92" i="20"/>
  <c r="P92" i="20" s="1"/>
  <c r="J31" i="25"/>
  <c r="K31" i="25"/>
  <c r="L31" i="25"/>
  <c r="H30" i="25"/>
  <c r="I30" i="25"/>
  <c r="J30" i="25"/>
  <c r="K30" i="25"/>
  <c r="L30" i="25"/>
  <c r="N95" i="20"/>
  <c r="M95" i="20"/>
  <c r="H95" i="20"/>
  <c r="H29" i="25"/>
  <c r="I29" i="25"/>
  <c r="J29" i="25"/>
  <c r="K29" i="25"/>
  <c r="L29" i="25"/>
  <c r="M94" i="20"/>
  <c r="M93" i="20"/>
  <c r="P93" i="20" s="1"/>
  <c r="M80" i="20"/>
  <c r="H27" i="25"/>
  <c r="I27" i="25"/>
  <c r="J27" i="25"/>
  <c r="K27" i="25"/>
  <c r="L27" i="25"/>
  <c r="H28" i="25"/>
  <c r="I28" i="25"/>
  <c r="J28" i="25"/>
  <c r="K28" i="25"/>
  <c r="L28" i="25"/>
  <c r="M85" i="20"/>
  <c r="I25" i="25"/>
  <c r="H26" i="25"/>
  <c r="H25" i="25"/>
  <c r="I26" i="25"/>
  <c r="H24" i="25"/>
  <c r="M84" i="20"/>
  <c r="P84" i="20" s="1"/>
  <c r="J25" i="25"/>
  <c r="K25" i="25"/>
  <c r="L25" i="25"/>
  <c r="K26" i="25"/>
  <c r="L26" i="25"/>
  <c r="H22" i="25"/>
  <c r="I22" i="25"/>
  <c r="J22" i="25"/>
  <c r="K22" i="25"/>
  <c r="L22" i="25"/>
  <c r="H23" i="25"/>
  <c r="I23" i="25"/>
  <c r="J23" i="25"/>
  <c r="K23" i="25"/>
  <c r="L23" i="25"/>
  <c r="I24" i="25"/>
  <c r="J24" i="25"/>
  <c r="K24" i="25"/>
  <c r="L24" i="25"/>
  <c r="H19" i="25"/>
  <c r="I19" i="25"/>
  <c r="J19" i="25"/>
  <c r="K19" i="25"/>
  <c r="L19" i="25"/>
  <c r="H20" i="25"/>
  <c r="I20" i="25"/>
  <c r="J20" i="25"/>
  <c r="K20" i="25"/>
  <c r="L20" i="25"/>
  <c r="H21" i="25"/>
  <c r="I21" i="25"/>
  <c r="J21" i="25"/>
  <c r="K21" i="25"/>
  <c r="L21" i="25"/>
  <c r="M91" i="20"/>
  <c r="M83" i="20"/>
  <c r="M90" i="20"/>
  <c r="M82" i="20"/>
  <c r="M89" i="20"/>
  <c r="M81" i="20"/>
  <c r="P81" i="20" s="1"/>
  <c r="O32" i="25" l="1"/>
  <c r="P32" i="25" s="1"/>
  <c r="J26" i="25"/>
  <c r="P89" i="20" l="1"/>
  <c r="P82" i="20"/>
  <c r="P90" i="20"/>
  <c r="P83" i="20"/>
  <c r="P91" i="20"/>
  <c r="P85" i="20"/>
  <c r="W81" i="20"/>
  <c r="W89" i="20"/>
  <c r="W82" i="20"/>
  <c r="W90" i="20"/>
  <c r="W83" i="20"/>
  <c r="W91" i="20"/>
  <c r="W84" i="20"/>
  <c r="W92" i="20"/>
  <c r="W85" i="20"/>
  <c r="P94" i="20"/>
  <c r="P95" i="20"/>
  <c r="O31" i="25"/>
  <c r="P31" i="25" s="1"/>
  <c r="P99" i="20"/>
  <c r="P105" i="20"/>
  <c r="P106" i="20"/>
  <c r="W93" i="20"/>
  <c r="W94" i="20"/>
  <c r="W95" i="20"/>
  <c r="W98" i="20"/>
  <c r="W99" i="20"/>
  <c r="W105" i="20"/>
  <c r="W106" i="20"/>
  <c r="P107" i="20"/>
  <c r="P108" i="20"/>
  <c r="P109" i="20"/>
  <c r="W107" i="20"/>
  <c r="W108" i="20"/>
  <c r="W109" i="20"/>
  <c r="P72" i="20"/>
  <c r="I23" i="3"/>
  <c r="I24" i="3"/>
  <c r="O42" i="25" l="1"/>
  <c r="P42" i="25" s="1"/>
  <c r="O41" i="25"/>
  <c r="P41" i="25" s="1"/>
  <c r="O40" i="25"/>
  <c r="P40" i="25" s="1"/>
  <c r="O34" i="25"/>
  <c r="P34" i="25" s="1"/>
  <c r="O44" i="25"/>
  <c r="P44" i="25" s="1"/>
  <c r="O43" i="25"/>
  <c r="P43" i="25" s="1"/>
  <c r="O26" i="25"/>
  <c r="P26" i="25" s="1"/>
  <c r="M77" i="20"/>
  <c r="P77" i="20" s="1"/>
  <c r="O29" i="25" s="1"/>
  <c r="P29" i="25" s="1"/>
  <c r="W77" i="20"/>
  <c r="P80" i="20"/>
  <c r="W80" i="20"/>
  <c r="M87" i="20"/>
  <c r="W87" i="20"/>
  <c r="H17" i="25"/>
  <c r="I17" i="25"/>
  <c r="J17" i="25"/>
  <c r="K17" i="25"/>
  <c r="L17" i="25"/>
  <c r="H18" i="25"/>
  <c r="I18" i="25"/>
  <c r="J18" i="25"/>
  <c r="K18" i="25"/>
  <c r="L18" i="25"/>
  <c r="M86" i="20"/>
  <c r="M76" i="20"/>
  <c r="B72" i="20"/>
  <c r="B88" i="20"/>
  <c r="B78" i="20"/>
  <c r="B73" i="20"/>
  <c r="B65" i="20"/>
  <c r="B60" i="20"/>
  <c r="B57" i="20"/>
  <c r="B55" i="20"/>
  <c r="B51" i="20"/>
  <c r="B47" i="20"/>
  <c r="B44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37" i="20"/>
  <c r="B29" i="20"/>
  <c r="B30" i="20"/>
  <c r="B31" i="20"/>
  <c r="B32" i="20"/>
  <c r="B39" i="20"/>
  <c r="B40" i="20"/>
  <c r="B33" i="20"/>
  <c r="B41" i="20"/>
  <c r="B34" i="20"/>
  <c r="B35" i="20"/>
  <c r="B4" i="20"/>
  <c r="B5" i="20"/>
  <c r="B6" i="20"/>
  <c r="B7" i="20"/>
  <c r="B8" i="20"/>
  <c r="B9" i="20"/>
  <c r="B10" i="20"/>
  <c r="B11" i="20"/>
  <c r="B12" i="20"/>
  <c r="B3" i="20"/>
  <c r="W41" i="3" l="1"/>
  <c r="X41" i="3" s="1"/>
  <c r="W39" i="3"/>
  <c r="X39" i="3" s="1"/>
  <c r="W38" i="3"/>
  <c r="X38" i="3" s="1"/>
  <c r="W37" i="3"/>
  <c r="X37" i="3" s="1"/>
  <c r="W36" i="3"/>
  <c r="P87" i="20"/>
  <c r="H13" i="25" l="1"/>
  <c r="I13" i="25"/>
  <c r="J13" i="25"/>
  <c r="K13" i="25"/>
  <c r="L13" i="25"/>
  <c r="H14" i="25"/>
  <c r="I14" i="25"/>
  <c r="J14" i="25"/>
  <c r="K14" i="25"/>
  <c r="L14" i="25"/>
  <c r="H15" i="25"/>
  <c r="I15" i="25"/>
  <c r="J15" i="25"/>
  <c r="K15" i="25"/>
  <c r="L15" i="25"/>
  <c r="H16" i="25"/>
  <c r="I16" i="25"/>
  <c r="J16" i="25"/>
  <c r="K16" i="25"/>
  <c r="L16" i="25"/>
  <c r="E8" i="23"/>
  <c r="K11" i="25" l="1"/>
  <c r="L11" i="25"/>
  <c r="K12" i="25"/>
  <c r="L12" i="25"/>
  <c r="H12" i="25"/>
  <c r="I12" i="25"/>
  <c r="J12" i="25"/>
  <c r="H11" i="25"/>
  <c r="I11" i="25"/>
  <c r="J11" i="25"/>
  <c r="M79" i="20"/>
  <c r="M71" i="20"/>
  <c r="C2" i="26"/>
  <c r="J10" i="25"/>
  <c r="K10" i="25"/>
  <c r="L8" i="25"/>
  <c r="L9" i="25"/>
  <c r="L10" i="25"/>
  <c r="H10" i="25"/>
  <c r="I10" i="25"/>
  <c r="K8" i="25"/>
  <c r="K9" i="25"/>
  <c r="M70" i="20"/>
  <c r="M75" i="20"/>
  <c r="M69" i="20"/>
  <c r="M74" i="20"/>
  <c r="H9" i="25"/>
  <c r="I9" i="25"/>
  <c r="J9" i="25"/>
  <c r="H8" i="25"/>
  <c r="I8" i="25"/>
  <c r="J8" i="25"/>
  <c r="H2" i="24"/>
  <c r="F4" i="24"/>
  <c r="F3" i="24"/>
  <c r="F2" i="24"/>
  <c r="W63" i="20" l="1"/>
  <c r="H2" i="25"/>
  <c r="J7" i="25"/>
  <c r="I3" i="25"/>
  <c r="I4" i="25"/>
  <c r="I5" i="25"/>
  <c r="I6" i="25"/>
  <c r="I7" i="25"/>
  <c r="H7" i="25"/>
  <c r="K7" i="25"/>
  <c r="L7" i="25"/>
  <c r="L79" i="25"/>
  <c r="L3" i="25"/>
  <c r="L4" i="25"/>
  <c r="L5" i="25"/>
  <c r="L6" i="25"/>
  <c r="L2" i="25"/>
  <c r="K79" i="25"/>
  <c r="K6" i="25"/>
  <c r="F79" i="25" l="1"/>
  <c r="K3" i="25"/>
  <c r="K4" i="25"/>
  <c r="K5" i="25"/>
  <c r="K2" i="25"/>
  <c r="J3" i="25"/>
  <c r="J4" i="25"/>
  <c r="J5" i="25"/>
  <c r="J6" i="25"/>
  <c r="H3" i="25"/>
  <c r="H4" i="25"/>
  <c r="H5" i="25"/>
  <c r="H6" i="25"/>
  <c r="M68" i="20"/>
  <c r="M63" i="20"/>
  <c r="W68" i="20"/>
  <c r="H79" i="25"/>
  <c r="J79" i="25"/>
  <c r="I79" i="25"/>
  <c r="H3" i="24"/>
  <c r="I2" i="25"/>
  <c r="J2" i="25"/>
  <c r="H4" i="24"/>
  <c r="E6" i="24"/>
  <c r="W67" i="20"/>
  <c r="P67" i="20"/>
  <c r="P63" i="20" l="1"/>
  <c r="O18" i="25" s="1"/>
  <c r="P18" i="25" s="1"/>
  <c r="P68" i="20"/>
  <c r="W69" i="20"/>
  <c r="W75" i="20"/>
  <c r="W70" i="20"/>
  <c r="W71" i="20"/>
  <c r="W79" i="20"/>
  <c r="W76" i="20"/>
  <c r="W86" i="20"/>
  <c r="P69" i="20"/>
  <c r="P75" i="20"/>
  <c r="P70" i="20"/>
  <c r="P71" i="20"/>
  <c r="P79" i="20"/>
  <c r="P76" i="20"/>
  <c r="P86" i="20"/>
  <c r="P79" i="25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19" i="24"/>
  <c r="I21" i="24"/>
  <c r="H21" i="24"/>
  <c r="F21" i="24"/>
  <c r="I20" i="24"/>
  <c r="H20" i="24"/>
  <c r="F20" i="24"/>
  <c r="O28" i="25" l="1"/>
  <c r="P28" i="25" s="1"/>
  <c r="O25" i="25"/>
  <c r="P25" i="25" s="1"/>
  <c r="O22" i="25"/>
  <c r="P22" i="25" s="1"/>
  <c r="I3" i="24"/>
  <c r="I4" i="24"/>
  <c r="H5" i="24"/>
  <c r="I5" i="24"/>
  <c r="H6" i="24"/>
  <c r="I6" i="24"/>
  <c r="H7" i="24"/>
  <c r="I7" i="24"/>
  <c r="H8" i="24"/>
  <c r="I8" i="24"/>
  <c r="H9" i="24"/>
  <c r="I9" i="24"/>
  <c r="H10" i="24"/>
  <c r="I10" i="24"/>
  <c r="H11" i="24"/>
  <c r="I11" i="24"/>
  <c r="I2" i="24"/>
  <c r="F5" i="24"/>
  <c r="F6" i="24"/>
  <c r="F7" i="24"/>
  <c r="F8" i="24"/>
  <c r="F9" i="24"/>
  <c r="F10" i="24"/>
  <c r="F11" i="24"/>
  <c r="J3" i="24"/>
  <c r="L3" i="24"/>
  <c r="J4" i="24"/>
  <c r="L4" i="24"/>
  <c r="M4" i="24"/>
  <c r="N4" i="24"/>
  <c r="E5" i="24"/>
  <c r="J5" i="24"/>
  <c r="L5" i="24"/>
  <c r="M5" i="24"/>
  <c r="N5" i="24"/>
  <c r="J6" i="24"/>
  <c r="L6" i="24"/>
  <c r="M6" i="24"/>
  <c r="N6" i="24"/>
  <c r="E7" i="24"/>
  <c r="J7" i="24"/>
  <c r="L7" i="24"/>
  <c r="M7" i="24"/>
  <c r="N7" i="24"/>
  <c r="E8" i="24"/>
  <c r="J8" i="24"/>
  <c r="L8" i="24"/>
  <c r="M8" i="24"/>
  <c r="N8" i="24"/>
  <c r="E9" i="24"/>
  <c r="J9" i="24"/>
  <c r="L9" i="24"/>
  <c r="M9" i="24"/>
  <c r="N9" i="24"/>
  <c r="E10" i="24"/>
  <c r="J10" i="24"/>
  <c r="L10" i="24"/>
  <c r="M10" i="24"/>
  <c r="N10" i="24"/>
  <c r="E11" i="24"/>
  <c r="J11" i="24"/>
  <c r="L11" i="24"/>
  <c r="M11" i="24"/>
  <c r="N11" i="24"/>
  <c r="N2" i="24"/>
  <c r="M2" i="24"/>
  <c r="L2" i="24"/>
  <c r="J2" i="24"/>
  <c r="U23" i="3"/>
  <c r="W23" i="3"/>
  <c r="AA23" i="3"/>
  <c r="Y23" i="3" l="1"/>
  <c r="AA3" i="3"/>
  <c r="AA4" i="3"/>
  <c r="AA5" i="3"/>
  <c r="AA6" i="3"/>
  <c r="AA7" i="3"/>
  <c r="AA8" i="3"/>
  <c r="AA9" i="3"/>
  <c r="AA10" i="3"/>
  <c r="AA11" i="3"/>
  <c r="AA12" i="3"/>
  <c r="AA24" i="3"/>
  <c r="AA15" i="3"/>
  <c r="AA25" i="3"/>
  <c r="AA17" i="3"/>
  <c r="AA18" i="3"/>
  <c r="AA26" i="3"/>
  <c r="AA20" i="3"/>
  <c r="AA21" i="3"/>
  <c r="AA27" i="3"/>
  <c r="AA22" i="3"/>
  <c r="AA13" i="3"/>
  <c r="AA16" i="3"/>
  <c r="AA19" i="3"/>
  <c r="AA28" i="3"/>
  <c r="AA29" i="3"/>
  <c r="AA30" i="3"/>
  <c r="AA31" i="3"/>
  <c r="AA32" i="3"/>
  <c r="AA33" i="3"/>
  <c r="AA34" i="3"/>
  <c r="AA35" i="3"/>
  <c r="AA36" i="3"/>
  <c r="C30" i="23"/>
  <c r="C31" i="23" s="1"/>
  <c r="C9" i="23"/>
  <c r="C10" i="23" s="1"/>
  <c r="C51" i="23"/>
  <c r="C52" i="23" s="1"/>
  <c r="D4" i="23"/>
  <c r="E4" i="23" s="1"/>
  <c r="F4" i="23" s="1"/>
  <c r="G4" i="23" s="1"/>
  <c r="H4" i="23" s="1"/>
  <c r="I4" i="23" s="1"/>
  <c r="J4" i="23" s="1"/>
  <c r="K4" i="23" s="1"/>
  <c r="L4" i="23" s="1"/>
  <c r="M4" i="23" s="1"/>
  <c r="N4" i="23" s="1"/>
  <c r="D3" i="23"/>
  <c r="E3" i="23" s="1"/>
  <c r="F3" i="23" s="1"/>
  <c r="G3" i="23" s="1"/>
  <c r="H3" i="23" s="1"/>
  <c r="I3" i="23" s="1"/>
  <c r="J3" i="23" s="1"/>
  <c r="K3" i="23" s="1"/>
  <c r="L3" i="23" s="1"/>
  <c r="M3" i="23" s="1"/>
  <c r="N3" i="23" s="1"/>
  <c r="W72" i="20"/>
  <c r="W64" i="20"/>
  <c r="W74" i="20"/>
  <c r="W62" i="20"/>
  <c r="W59" i="20"/>
  <c r="W54" i="20"/>
  <c r="W58" i="20"/>
  <c r="W53" i="20"/>
  <c r="W66" i="20"/>
  <c r="W61" i="20"/>
  <c r="W56" i="20"/>
  <c r="W52" i="20"/>
  <c r="W57" i="20"/>
  <c r="W88" i="20"/>
  <c r="W78" i="20"/>
  <c r="W73" i="20"/>
  <c r="W65" i="20"/>
  <c r="W60" i="20"/>
  <c r="W55" i="20"/>
  <c r="W35" i="20"/>
  <c r="W51" i="20"/>
  <c r="W50" i="20"/>
  <c r="W49" i="20"/>
  <c r="W48" i="20"/>
  <c r="W47" i="20"/>
  <c r="W34" i="20"/>
  <c r="W33" i="20"/>
  <c r="W46" i="20"/>
  <c r="W45" i="20"/>
  <c r="W44" i="20"/>
  <c r="W43" i="20"/>
  <c r="W42" i="20"/>
  <c r="W41" i="20"/>
  <c r="W31" i="20"/>
  <c r="W40" i="20"/>
  <c r="W39" i="20"/>
  <c r="W38" i="20"/>
  <c r="W30" i="20"/>
  <c r="W29" i="20"/>
  <c r="W28" i="20"/>
  <c r="W37" i="20"/>
  <c r="W27" i="20"/>
  <c r="W26" i="20"/>
  <c r="W25" i="20"/>
  <c r="W24" i="20"/>
  <c r="W36" i="20"/>
  <c r="W23" i="20"/>
  <c r="W22" i="20"/>
  <c r="W21" i="20"/>
  <c r="W20" i="20"/>
  <c r="W19" i="20"/>
  <c r="W18" i="20"/>
  <c r="W17" i="20"/>
  <c r="W16" i="20"/>
  <c r="W15" i="20"/>
  <c r="W14" i="20"/>
  <c r="W13" i="20"/>
  <c r="W12" i="20"/>
  <c r="W11" i="20"/>
  <c r="W10" i="20"/>
  <c r="W9" i="20"/>
  <c r="W8" i="20"/>
  <c r="W7" i="20"/>
  <c r="W6" i="20"/>
  <c r="W5" i="20"/>
  <c r="W4" i="20"/>
  <c r="W3" i="20"/>
  <c r="D9" i="23" l="1"/>
  <c r="D10" i="23" s="1"/>
  <c r="D30" i="23"/>
  <c r="D31" i="23" s="1"/>
  <c r="D51" i="23"/>
  <c r="P3" i="20"/>
  <c r="P4" i="20"/>
  <c r="P5" i="20"/>
  <c r="P6" i="20"/>
  <c r="P7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36" i="20"/>
  <c r="P24" i="20"/>
  <c r="P25" i="20"/>
  <c r="P26" i="20"/>
  <c r="P27" i="20"/>
  <c r="P28" i="20"/>
  <c r="P29" i="20"/>
  <c r="P38" i="20"/>
  <c r="P39" i="20"/>
  <c r="P40" i="20"/>
  <c r="P31" i="20"/>
  <c r="P41" i="20"/>
  <c r="P43" i="20"/>
  <c r="P45" i="20"/>
  <c r="P46" i="20"/>
  <c r="P47" i="20"/>
  <c r="O2" i="25" s="1"/>
  <c r="P2" i="25" s="1"/>
  <c r="P48" i="20"/>
  <c r="O3" i="25" s="1"/>
  <c r="P51" i="20"/>
  <c r="O6" i="25" s="1"/>
  <c r="P35" i="20"/>
  <c r="P55" i="20"/>
  <c r="P60" i="20"/>
  <c r="O15" i="25" s="1"/>
  <c r="P15" i="25" s="1"/>
  <c r="P65" i="20"/>
  <c r="O20" i="25" s="1"/>
  <c r="P20" i="25" s="1"/>
  <c r="P73" i="20"/>
  <c r="P78" i="20"/>
  <c r="P88" i="20"/>
  <c r="P57" i="20"/>
  <c r="E4" i="24" s="1"/>
  <c r="P54" i="20"/>
  <c r="P59" i="20"/>
  <c r="P62" i="20"/>
  <c r="P74" i="20"/>
  <c r="P64" i="20"/>
  <c r="U7" i="3"/>
  <c r="Y7" i="3" s="1"/>
  <c r="U8" i="3"/>
  <c r="Y8" i="3" s="1"/>
  <c r="U10" i="3"/>
  <c r="Y10" i="3" s="1"/>
  <c r="U11" i="3"/>
  <c r="Y11" i="3" s="1"/>
  <c r="U12" i="3"/>
  <c r="Y12" i="3" s="1"/>
  <c r="U24" i="3"/>
  <c r="Y24" i="3" s="1"/>
  <c r="U14" i="3"/>
  <c r="Y14" i="3" s="1"/>
  <c r="U15" i="3"/>
  <c r="Y15" i="3" s="1"/>
  <c r="U25" i="3"/>
  <c r="Y25" i="3" s="1"/>
  <c r="U17" i="3"/>
  <c r="Y17" i="3" s="1"/>
  <c r="U18" i="3"/>
  <c r="Y18" i="3" s="1"/>
  <c r="U26" i="3"/>
  <c r="Y26" i="3" s="1"/>
  <c r="U27" i="3"/>
  <c r="Y27" i="3" s="1"/>
  <c r="U19" i="3"/>
  <c r="Y19" i="3" s="1"/>
  <c r="U28" i="3"/>
  <c r="Y28" i="3" s="1"/>
  <c r="U29" i="3"/>
  <c r="Y29" i="3" s="1"/>
  <c r="U30" i="3"/>
  <c r="Y30" i="3" s="1"/>
  <c r="U31" i="3"/>
  <c r="Y31" i="3" s="1"/>
  <c r="U32" i="3"/>
  <c r="Y32" i="3" s="1"/>
  <c r="U33" i="3"/>
  <c r="Y33" i="3" s="1"/>
  <c r="U34" i="3"/>
  <c r="U35" i="3"/>
  <c r="U36" i="3"/>
  <c r="W8" i="3"/>
  <c r="X8" i="3" s="1"/>
  <c r="W10" i="3"/>
  <c r="X10" i="3" s="1"/>
  <c r="W24" i="3"/>
  <c r="W15" i="3"/>
  <c r="X15" i="3" s="1"/>
  <c r="W25" i="3"/>
  <c r="W18" i="3"/>
  <c r="X18" i="3" s="1"/>
  <c r="W26" i="3"/>
  <c r="W27" i="3"/>
  <c r="W28" i="3"/>
  <c r="W29" i="3"/>
  <c r="W30" i="3"/>
  <c r="W31" i="3"/>
  <c r="W32" i="3"/>
  <c r="W33" i="3"/>
  <c r="W35" i="3"/>
  <c r="I28" i="3"/>
  <c r="I19" i="3"/>
  <c r="I16" i="3"/>
  <c r="I17" i="3"/>
  <c r="I13" i="3"/>
  <c r="I29" i="3"/>
  <c r="I36" i="3"/>
  <c r="I35" i="3"/>
  <c r="I33" i="3"/>
  <c r="I32" i="3"/>
  <c r="I31" i="3"/>
  <c r="I30" i="3"/>
  <c r="I22" i="3"/>
  <c r="I27" i="3"/>
  <c r="I21" i="3"/>
  <c r="I20" i="3"/>
  <c r="I26" i="3"/>
  <c r="I18" i="3"/>
  <c r="I25" i="3"/>
  <c r="I15" i="3"/>
  <c r="I14" i="3"/>
  <c r="I12" i="3"/>
  <c r="I11" i="3"/>
  <c r="I10" i="3"/>
  <c r="I9" i="3"/>
  <c r="I8" i="3"/>
  <c r="I7" i="3"/>
  <c r="I6" i="3"/>
  <c r="I5" i="3"/>
  <c r="I4" i="3"/>
  <c r="M58" i="20"/>
  <c r="P58" i="20" s="1"/>
  <c r="M53" i="20"/>
  <c r="M66" i="20"/>
  <c r="M61" i="20"/>
  <c r="P61" i="20" s="1"/>
  <c r="M56" i="20"/>
  <c r="M52" i="20"/>
  <c r="M50" i="20"/>
  <c r="M49" i="20"/>
  <c r="M34" i="20"/>
  <c r="P34" i="20" s="1"/>
  <c r="M33" i="20"/>
  <c r="P33" i="20" s="1"/>
  <c r="M32" i="20"/>
  <c r="P32" i="20" s="1"/>
  <c r="M42" i="20"/>
  <c r="M30" i="20"/>
  <c r="P30" i="20" s="1"/>
  <c r="P66" i="20" l="1"/>
  <c r="O17" i="25"/>
  <c r="P17" i="25" s="1"/>
  <c r="Y36" i="3"/>
  <c r="V36" i="3"/>
  <c r="Y34" i="3"/>
  <c r="V34" i="3"/>
  <c r="Y35" i="3"/>
  <c r="V35" i="3"/>
  <c r="E9" i="23"/>
  <c r="E10" i="23" s="1"/>
  <c r="O14" i="25"/>
  <c r="P14" i="25" s="1"/>
  <c r="O13" i="25"/>
  <c r="P13" i="25" s="1"/>
  <c r="O30" i="25"/>
  <c r="P30" i="25" s="1"/>
  <c r="O27" i="25"/>
  <c r="P27" i="25" s="1"/>
  <c r="E2" i="24"/>
  <c r="O10" i="25"/>
  <c r="P10" i="25" s="1"/>
  <c r="O19" i="25"/>
  <c r="P19" i="25" s="1"/>
  <c r="P42" i="20"/>
  <c r="P98" i="20"/>
  <c r="O23" i="25"/>
  <c r="P23" i="25" s="1"/>
  <c r="O24" i="25"/>
  <c r="P24" i="25" s="1"/>
  <c r="O9" i="25"/>
  <c r="P9" i="25" s="1"/>
  <c r="O12" i="25"/>
  <c r="P12" i="25" s="1"/>
  <c r="O8" i="25"/>
  <c r="P8" i="25" s="1"/>
  <c r="O11" i="25"/>
  <c r="P11" i="25" s="1"/>
  <c r="O16" i="25"/>
  <c r="P16" i="25" s="1"/>
  <c r="O21" i="25"/>
  <c r="P21" i="25" s="1"/>
  <c r="U13" i="3"/>
  <c r="Y13" i="3" s="1"/>
  <c r="U21" i="3"/>
  <c r="Y21" i="3" s="1"/>
  <c r="U16" i="3"/>
  <c r="Y16" i="3" s="1"/>
  <c r="N3" i="24"/>
  <c r="P53" i="20"/>
  <c r="P49" i="20"/>
  <c r="P3" i="25"/>
  <c r="P50" i="20"/>
  <c r="P52" i="20"/>
  <c r="O7" i="25" s="1"/>
  <c r="P7" i="25" s="1"/>
  <c r="P6" i="25"/>
  <c r="W6" i="3"/>
  <c r="X6" i="3" s="1"/>
  <c r="U9" i="3"/>
  <c r="Y9" i="3" s="1"/>
  <c r="U6" i="3"/>
  <c r="Y6" i="3" s="1"/>
  <c r="P56" i="20"/>
  <c r="M3" i="24"/>
  <c r="F9" i="23"/>
  <c r="E51" i="23"/>
  <c r="D52" i="23"/>
  <c r="E30" i="23"/>
  <c r="W22" i="3"/>
  <c r="X22" i="3" s="1"/>
  <c r="W5" i="3"/>
  <c r="X5" i="3" s="1"/>
  <c r="W16" i="3"/>
  <c r="X16" i="3" s="1"/>
  <c r="W13" i="3"/>
  <c r="X13" i="3" s="1"/>
  <c r="V12" i="3"/>
  <c r="V8" i="3"/>
  <c r="V11" i="3"/>
  <c r="V19" i="3"/>
  <c r="V18" i="3"/>
  <c r="V10" i="3"/>
  <c r="V17" i="3"/>
  <c r="V15" i="3"/>
  <c r="V7" i="3"/>
  <c r="V14" i="3"/>
  <c r="U22" i="3"/>
  <c r="Y22" i="3" s="1"/>
  <c r="W21" i="3"/>
  <c r="X21" i="3" s="1"/>
  <c r="U5" i="3"/>
  <c r="Y5" i="3" s="1"/>
  <c r="U20" i="3"/>
  <c r="Y20" i="3" s="1"/>
  <c r="G87" i="19"/>
  <c r="G86" i="19"/>
  <c r="G85" i="19"/>
  <c r="G84" i="19"/>
  <c r="G83" i="19"/>
  <c r="G82" i="19"/>
  <c r="G81" i="19"/>
  <c r="AH76" i="19"/>
  <c r="AH75" i="19"/>
  <c r="AH74" i="19"/>
  <c r="AI9" i="19" s="1"/>
  <c r="AJ9" i="19" s="1"/>
  <c r="AK9" i="19" s="1"/>
  <c r="AL9" i="19" s="1"/>
  <c r="AR67" i="19"/>
  <c r="AR68" i="19" s="1"/>
  <c r="AR69" i="19" s="1"/>
  <c r="AP67" i="19"/>
  <c r="AP68" i="19" s="1"/>
  <c r="AO67" i="19"/>
  <c r="AO68" i="19" s="1"/>
  <c r="H67" i="19"/>
  <c r="AR59" i="19"/>
  <c r="G59" i="19"/>
  <c r="G58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AR37" i="19"/>
  <c r="G37" i="19"/>
  <c r="AR36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AQ23" i="19"/>
  <c r="G23" i="19"/>
  <c r="AQ22" i="19"/>
  <c r="G22" i="19"/>
  <c r="G21" i="19"/>
  <c r="AQ20" i="19"/>
  <c r="G20" i="19"/>
  <c r="AM19" i="19"/>
  <c r="AL19" i="19"/>
  <c r="G19" i="19"/>
  <c r="AM18" i="19"/>
  <c r="AN18" i="19" s="1"/>
  <c r="AN67" i="19" s="1"/>
  <c r="AL18" i="19"/>
  <c r="G18" i="19"/>
  <c r="AQ17" i="19"/>
  <c r="G17" i="19"/>
  <c r="AQ16" i="19"/>
  <c r="G16" i="19"/>
  <c r="AL15" i="19"/>
  <c r="AM15" i="19" s="1"/>
  <c r="AK15" i="19"/>
  <c r="G15" i="19"/>
  <c r="AK14" i="19"/>
  <c r="AL14" i="19" s="1"/>
  <c r="AJ14" i="19"/>
  <c r="G14" i="19"/>
  <c r="AJ13" i="19"/>
  <c r="AK13" i="19" s="1"/>
  <c r="AI13" i="19"/>
  <c r="G13" i="19"/>
  <c r="AJ12" i="19"/>
  <c r="AK12" i="19" s="1"/>
  <c r="AI12" i="19"/>
  <c r="G12" i="19"/>
  <c r="AI11" i="19"/>
  <c r="G11" i="19"/>
  <c r="AQ10" i="19"/>
  <c r="G10" i="19"/>
  <c r="AH9" i="19"/>
  <c r="G9" i="19"/>
  <c r="AG8" i="19"/>
  <c r="G8" i="19"/>
  <c r="AH7" i="19"/>
  <c r="AG7" i="19"/>
  <c r="AF7" i="19"/>
  <c r="G7" i="19"/>
  <c r="AE4" i="19"/>
  <c r="G4" i="19"/>
  <c r="AE3" i="19"/>
  <c r="G3" i="19"/>
  <c r="BA1" i="19"/>
  <c r="AZ1" i="19"/>
  <c r="AY1" i="19"/>
  <c r="AX1" i="19"/>
  <c r="AW1" i="19"/>
  <c r="AV1" i="19"/>
  <c r="H6" i="18"/>
  <c r="AQ13" i="19" l="1"/>
  <c r="AQ9" i="19"/>
  <c r="AQ12" i="19"/>
  <c r="AQ18" i="19"/>
  <c r="AQ7" i="19"/>
  <c r="G67" i="19"/>
  <c r="BB87" i="19"/>
  <c r="U3" i="3"/>
  <c r="O33" i="25"/>
  <c r="P33" i="25" s="1"/>
  <c r="O4" i="25"/>
  <c r="P4" i="25" s="1"/>
  <c r="O5" i="25"/>
  <c r="P5" i="25" s="1"/>
  <c r="V16" i="3"/>
  <c r="V21" i="3"/>
  <c r="V13" i="3"/>
  <c r="E3" i="24"/>
  <c r="U4" i="3"/>
  <c r="AQ15" i="19"/>
  <c r="AP69" i="19"/>
  <c r="AO69" i="19"/>
  <c r="BB82" i="19"/>
  <c r="AQ19" i="19"/>
  <c r="V9" i="3"/>
  <c r="V6" i="3"/>
  <c r="F30" i="23"/>
  <c r="F31" i="23" s="1"/>
  <c r="E31" i="23"/>
  <c r="F51" i="23"/>
  <c r="E52" i="23"/>
  <c r="G9" i="23"/>
  <c r="G10" i="23" s="1"/>
  <c r="F10" i="23"/>
  <c r="V20" i="3"/>
  <c r="V5" i="3"/>
  <c r="V22" i="3"/>
  <c r="AN68" i="19"/>
  <c r="AN69" i="19" s="1"/>
  <c r="BB84" i="19"/>
  <c r="BB19" i="19"/>
  <c r="AF3" i="19"/>
  <c r="BB30" i="19"/>
  <c r="BB49" i="19"/>
  <c r="BB13" i="19"/>
  <c r="BB18" i="19"/>
  <c r="BB20" i="19"/>
  <c r="BB23" i="19"/>
  <c r="BB27" i="19"/>
  <c r="BB31" i="19"/>
  <c r="BB35" i="19"/>
  <c r="BB38" i="19"/>
  <c r="BB42" i="19"/>
  <c r="BB46" i="19"/>
  <c r="BB50" i="19"/>
  <c r="BB54" i="19"/>
  <c r="BB58" i="19"/>
  <c r="BB36" i="19"/>
  <c r="BB83" i="19"/>
  <c r="BB14" i="19"/>
  <c r="BB26" i="19"/>
  <c r="BB37" i="19"/>
  <c r="BB45" i="19"/>
  <c r="BB16" i="19"/>
  <c r="BB81" i="19"/>
  <c r="BB85" i="19"/>
  <c r="BB3" i="19"/>
  <c r="AQ14" i="19"/>
  <c r="BB22" i="19"/>
  <c r="AF4" i="19"/>
  <c r="AG4" i="19" s="1"/>
  <c r="AH4" i="19" s="1"/>
  <c r="AI4" i="19" s="1"/>
  <c r="BB34" i="19"/>
  <c r="BB41" i="19"/>
  <c r="BB53" i="19"/>
  <c r="BB57" i="19"/>
  <c r="AE67" i="19"/>
  <c r="AJ11" i="19"/>
  <c r="BB7" i="19"/>
  <c r="BB8" i="19"/>
  <c r="BB9" i="19"/>
  <c r="BB12" i="19"/>
  <c r="BB17" i="19"/>
  <c r="BB21" i="19"/>
  <c r="BB24" i="19"/>
  <c r="BB28" i="19"/>
  <c r="BB32" i="19"/>
  <c r="BB39" i="19"/>
  <c r="BB43" i="19"/>
  <c r="BB47" i="19"/>
  <c r="BB51" i="19"/>
  <c r="BB55" i="19"/>
  <c r="BB86" i="19"/>
  <c r="BB4" i="19"/>
  <c r="BB59" i="19"/>
  <c r="AH8" i="19"/>
  <c r="AI8" i="19" s="1"/>
  <c r="AJ8" i="19" s="1"/>
  <c r="BB10" i="19"/>
  <c r="BB11" i="19"/>
  <c r="BB15" i="19"/>
  <c r="BB25" i="19"/>
  <c r="BB29" i="19"/>
  <c r="BB33" i="19"/>
  <c r="BB40" i="19"/>
  <c r="BB44" i="19"/>
  <c r="BB48" i="19"/>
  <c r="BB52" i="19"/>
  <c r="BB56" i="19"/>
  <c r="G33" i="18"/>
  <c r="H21" i="18"/>
  <c r="H33" i="18" s="1"/>
  <c r="I33" i="18" s="1"/>
  <c r="U79" i="3" l="1"/>
  <c r="U80" i="3" s="1"/>
  <c r="U81" i="3" s="1"/>
  <c r="Y3" i="3"/>
  <c r="V3" i="3"/>
  <c r="Y4" i="3"/>
  <c r="V4" i="3"/>
  <c r="H9" i="23"/>
  <c r="G51" i="23"/>
  <c r="F52" i="23"/>
  <c r="G30" i="23"/>
  <c r="AJ67" i="19"/>
  <c r="AK8" i="19"/>
  <c r="AQ8" i="19" s="1"/>
  <c r="AQ4" i="19"/>
  <c r="AK11" i="19"/>
  <c r="AL11" i="19" s="1"/>
  <c r="AE68" i="19"/>
  <c r="AE69" i="19" s="1"/>
  <c r="AF67" i="19"/>
  <c r="AG3" i="19"/>
  <c r="U6" i="17"/>
  <c r="T6" i="17"/>
  <c r="S6" i="17"/>
  <c r="R6" i="17"/>
  <c r="Q6" i="17"/>
  <c r="BZ34" i="17"/>
  <c r="BY34" i="17"/>
  <c r="BX34" i="17"/>
  <c r="BW34" i="17"/>
  <c r="BV34" i="17"/>
  <c r="BU34" i="17"/>
  <c r="BT34" i="17"/>
  <c r="BS34" i="17"/>
  <c r="BR34" i="17"/>
  <c r="BQ34" i="17"/>
  <c r="BP34" i="17"/>
  <c r="BO34" i="17"/>
  <c r="BN34" i="17"/>
  <c r="BM34" i="17"/>
  <c r="BL34" i="17"/>
  <c r="BK34" i="17"/>
  <c r="BJ34" i="17"/>
  <c r="BI34" i="17"/>
  <c r="BH34" i="17"/>
  <c r="BG34" i="17"/>
  <c r="BF34" i="17"/>
  <c r="BE34" i="17"/>
  <c r="BD34" i="17"/>
  <c r="BC34" i="17"/>
  <c r="BB34" i="17"/>
  <c r="BA34" i="17"/>
  <c r="AZ34" i="17"/>
  <c r="AY34" i="17"/>
  <c r="AX34" i="17"/>
  <c r="AW34" i="17"/>
  <c r="AV34" i="17"/>
  <c r="AU34" i="17"/>
  <c r="AT34" i="17"/>
  <c r="AS34" i="17"/>
  <c r="AR34" i="17"/>
  <c r="AQ34" i="17"/>
  <c r="AP34" i="17"/>
  <c r="AO34" i="17"/>
  <c r="AN34" i="17"/>
  <c r="AM34" i="17"/>
  <c r="AL34" i="17"/>
  <c r="AK34" i="17"/>
  <c r="AJ34" i="17"/>
  <c r="AI34" i="17"/>
  <c r="AH34" i="17"/>
  <c r="AG34" i="17"/>
  <c r="AF34" i="17"/>
  <c r="AE34" i="17"/>
  <c r="AD34" i="17"/>
  <c r="AC34" i="17"/>
  <c r="AB34" i="17"/>
  <c r="AA34" i="17"/>
  <c r="Z34" i="17"/>
  <c r="Y34" i="17"/>
  <c r="X34" i="17"/>
  <c r="W34" i="17"/>
  <c r="BZ33" i="17"/>
  <c r="BY33" i="17"/>
  <c r="BX33" i="17"/>
  <c r="BW33" i="17"/>
  <c r="BV33" i="17"/>
  <c r="BU33" i="17"/>
  <c r="BT33" i="17"/>
  <c r="BS33" i="17"/>
  <c r="BR33" i="17"/>
  <c r="BQ33" i="17"/>
  <c r="BP33" i="17"/>
  <c r="BO33" i="17"/>
  <c r="BN33" i="17"/>
  <c r="BM33" i="17"/>
  <c r="BL33" i="17"/>
  <c r="BK33" i="17"/>
  <c r="BJ33" i="17"/>
  <c r="BI33" i="17"/>
  <c r="BH33" i="17"/>
  <c r="BG33" i="17"/>
  <c r="BF33" i="17"/>
  <c r="BE33" i="17"/>
  <c r="BD33" i="17"/>
  <c r="BC33" i="17"/>
  <c r="BB33" i="17"/>
  <c r="BA33" i="17"/>
  <c r="AZ33" i="17"/>
  <c r="AY33" i="17"/>
  <c r="AX33" i="17"/>
  <c r="AW33" i="17"/>
  <c r="AV33" i="17"/>
  <c r="AU33" i="17"/>
  <c r="AT33" i="17"/>
  <c r="AS33" i="17"/>
  <c r="AR33" i="17"/>
  <c r="AQ33" i="17"/>
  <c r="AP33" i="17"/>
  <c r="AO33" i="17"/>
  <c r="AN33" i="17"/>
  <c r="AM33" i="17"/>
  <c r="AL33" i="17"/>
  <c r="AK33" i="17"/>
  <c r="AJ33" i="17"/>
  <c r="AI33" i="17"/>
  <c r="AH33" i="17"/>
  <c r="AG33" i="17"/>
  <c r="AF33" i="17"/>
  <c r="AE33" i="17"/>
  <c r="AD33" i="17"/>
  <c r="AC33" i="17"/>
  <c r="AB33" i="17"/>
  <c r="AA33" i="17"/>
  <c r="Z33" i="17"/>
  <c r="Y33" i="17"/>
  <c r="X33" i="17"/>
  <c r="W33" i="17"/>
  <c r="BZ32" i="17"/>
  <c r="BY32" i="17"/>
  <c r="BX32" i="17"/>
  <c r="BW32" i="17"/>
  <c r="BV32" i="17"/>
  <c r="BU32" i="17"/>
  <c r="BT32" i="17"/>
  <c r="BS32" i="17"/>
  <c r="BR32" i="17"/>
  <c r="BQ32" i="17"/>
  <c r="BP32" i="17"/>
  <c r="BO32" i="17"/>
  <c r="BN32" i="17"/>
  <c r="BM32" i="17"/>
  <c r="BL32" i="17"/>
  <c r="BK32" i="17"/>
  <c r="BJ32" i="17"/>
  <c r="BI32" i="17"/>
  <c r="BH32" i="17"/>
  <c r="BG32" i="17"/>
  <c r="BF32" i="17"/>
  <c r="BE32" i="17"/>
  <c r="BD32" i="17"/>
  <c r="BC32" i="17"/>
  <c r="BB32" i="17"/>
  <c r="BA32" i="17"/>
  <c r="AZ32" i="17"/>
  <c r="AY32" i="17"/>
  <c r="AX32" i="17"/>
  <c r="AW32" i="17"/>
  <c r="AV32" i="17"/>
  <c r="AU32" i="17"/>
  <c r="AT32" i="17"/>
  <c r="AS32" i="17"/>
  <c r="AR32" i="17"/>
  <c r="AQ32" i="17"/>
  <c r="AP32" i="17"/>
  <c r="AO32" i="17"/>
  <c r="AN32" i="17"/>
  <c r="AM32" i="17"/>
  <c r="AL32" i="17"/>
  <c r="AK32" i="17"/>
  <c r="AJ32" i="17"/>
  <c r="AI32" i="17"/>
  <c r="AH32" i="17"/>
  <c r="AG32" i="17"/>
  <c r="AF32" i="17"/>
  <c r="AE32" i="17"/>
  <c r="AD32" i="17"/>
  <c r="AC32" i="17"/>
  <c r="AB32" i="17"/>
  <c r="AA32" i="17"/>
  <c r="Z32" i="17"/>
  <c r="Y32" i="17"/>
  <c r="X32" i="17"/>
  <c r="W32" i="17"/>
  <c r="BZ31" i="17"/>
  <c r="BY31" i="17"/>
  <c r="BX31" i="17"/>
  <c r="BW31" i="17"/>
  <c r="BV31" i="17"/>
  <c r="BU31" i="17"/>
  <c r="BT31" i="17"/>
  <c r="BS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BZ30" i="17"/>
  <c r="BZ36" i="17" s="1"/>
  <c r="BY30" i="17"/>
  <c r="BY36" i="17" s="1"/>
  <c r="BX30" i="17"/>
  <c r="BX36" i="17" s="1"/>
  <c r="BW30" i="17"/>
  <c r="BW36" i="17" s="1"/>
  <c r="BV30" i="17"/>
  <c r="BV36" i="17" s="1"/>
  <c r="BU30" i="17"/>
  <c r="BU36" i="17" s="1"/>
  <c r="BT30" i="17"/>
  <c r="BT36" i="17" s="1"/>
  <c r="BS30" i="17"/>
  <c r="BS36" i="17" s="1"/>
  <c r="BR30" i="17"/>
  <c r="BR36" i="17" s="1"/>
  <c r="BQ30" i="17"/>
  <c r="BQ36" i="17" s="1"/>
  <c r="BP30" i="17"/>
  <c r="BP36" i="17" s="1"/>
  <c r="BO30" i="17"/>
  <c r="BO36" i="17" s="1"/>
  <c r="BN30" i="17"/>
  <c r="BN36" i="17" s="1"/>
  <c r="BM30" i="17"/>
  <c r="BM36" i="17" s="1"/>
  <c r="BL30" i="17"/>
  <c r="BL36" i="17" s="1"/>
  <c r="BK30" i="17"/>
  <c r="BK36" i="17" s="1"/>
  <c r="BJ30" i="17"/>
  <c r="BJ36" i="17" s="1"/>
  <c r="BI30" i="17"/>
  <c r="BI36" i="17" s="1"/>
  <c r="BH30" i="17"/>
  <c r="BH36" i="17" s="1"/>
  <c r="BG30" i="17"/>
  <c r="BG36" i="17" s="1"/>
  <c r="BF30" i="17"/>
  <c r="BF36" i="17" s="1"/>
  <c r="BE30" i="17"/>
  <c r="BE36" i="17" s="1"/>
  <c r="BD30" i="17"/>
  <c r="BD36" i="17" s="1"/>
  <c r="BC30" i="17"/>
  <c r="BC36" i="17" s="1"/>
  <c r="BB30" i="17"/>
  <c r="BB35" i="17" s="1"/>
  <c r="BA30" i="17"/>
  <c r="BA36" i="17" s="1"/>
  <c r="AZ30" i="17"/>
  <c r="AZ36" i="17" s="1"/>
  <c r="AY30" i="17"/>
  <c r="AY36" i="17" s="1"/>
  <c r="AX30" i="17"/>
  <c r="AX36" i="17" s="1"/>
  <c r="AW30" i="17"/>
  <c r="AW36" i="17" s="1"/>
  <c r="AV30" i="17"/>
  <c r="AV36" i="17" s="1"/>
  <c r="AU30" i="17"/>
  <c r="AT30" i="17"/>
  <c r="AS30" i="17"/>
  <c r="AS36" i="17" s="1"/>
  <c r="AR30" i="17"/>
  <c r="AR36" i="17" s="1"/>
  <c r="AQ30" i="17"/>
  <c r="AQ36" i="17" s="1"/>
  <c r="AP30" i="17"/>
  <c r="AP36" i="17" s="1"/>
  <c r="AO30" i="17"/>
  <c r="AO36" i="17" s="1"/>
  <c r="AN30" i="17"/>
  <c r="AM30" i="17"/>
  <c r="AM36" i="17" s="1"/>
  <c r="AL30" i="17"/>
  <c r="AL36" i="17" s="1"/>
  <c r="AK30" i="17"/>
  <c r="AK36" i="17" s="1"/>
  <c r="AJ30" i="17"/>
  <c r="AJ36" i="17" s="1"/>
  <c r="AI30" i="17"/>
  <c r="AI36" i="17" s="1"/>
  <c r="AH30" i="17"/>
  <c r="AH36" i="17" s="1"/>
  <c r="AG30" i="17"/>
  <c r="AG36" i="17" s="1"/>
  <c r="AF30" i="17"/>
  <c r="AF36" i="17" s="1"/>
  <c r="AE30" i="17"/>
  <c r="AE36" i="17" s="1"/>
  <c r="AD30" i="17"/>
  <c r="AD36" i="17" s="1"/>
  <c r="AC30" i="17"/>
  <c r="AC36" i="17" s="1"/>
  <c r="AB30" i="17"/>
  <c r="AB36" i="17" s="1"/>
  <c r="AA30" i="17"/>
  <c r="AA36" i="17" s="1"/>
  <c r="Z30" i="17"/>
  <c r="Z36" i="17" s="1"/>
  <c r="Y30" i="17"/>
  <c r="Y36" i="17" s="1"/>
  <c r="X30" i="17"/>
  <c r="X36" i="17" s="1"/>
  <c r="W30" i="17"/>
  <c r="W36" i="17" s="1"/>
  <c r="U28" i="17"/>
  <c r="T28" i="17"/>
  <c r="S28" i="17"/>
  <c r="R28" i="17"/>
  <c r="Q28" i="17"/>
  <c r="P28" i="17"/>
  <c r="V28" i="17" s="1"/>
  <c r="U27" i="17"/>
  <c r="T27" i="17"/>
  <c r="S27" i="17"/>
  <c r="R27" i="17"/>
  <c r="Q27" i="17"/>
  <c r="P27" i="17"/>
  <c r="U26" i="17"/>
  <c r="T26" i="17"/>
  <c r="S26" i="17"/>
  <c r="R26" i="17"/>
  <c r="Q26" i="17"/>
  <c r="P26" i="17"/>
  <c r="G26" i="17"/>
  <c r="U25" i="17"/>
  <c r="T25" i="17"/>
  <c r="S25" i="17"/>
  <c r="R25" i="17"/>
  <c r="Q25" i="17"/>
  <c r="P25" i="17"/>
  <c r="G25" i="17"/>
  <c r="U24" i="17"/>
  <c r="T24" i="17"/>
  <c r="S24" i="17"/>
  <c r="R24" i="17"/>
  <c r="Q24" i="17"/>
  <c r="P24" i="17"/>
  <c r="G24" i="17"/>
  <c r="U23" i="17"/>
  <c r="T23" i="17"/>
  <c r="S23" i="17"/>
  <c r="R23" i="17"/>
  <c r="Q23" i="17"/>
  <c r="P23" i="17"/>
  <c r="G23" i="17"/>
  <c r="U22" i="17"/>
  <c r="T22" i="17"/>
  <c r="S22" i="17"/>
  <c r="R22" i="17"/>
  <c r="Q22" i="17"/>
  <c r="P22" i="17"/>
  <c r="G22" i="17"/>
  <c r="U21" i="17"/>
  <c r="T21" i="17"/>
  <c r="S21" i="17"/>
  <c r="R21" i="17"/>
  <c r="Q21" i="17"/>
  <c r="P21" i="17"/>
  <c r="G21" i="17"/>
  <c r="U20" i="17"/>
  <c r="T20" i="17"/>
  <c r="S20" i="17"/>
  <c r="R20" i="17"/>
  <c r="Q20" i="17"/>
  <c r="P20" i="17"/>
  <c r="G20" i="17"/>
  <c r="U19" i="17"/>
  <c r="T19" i="17"/>
  <c r="S19" i="17"/>
  <c r="R19" i="17"/>
  <c r="Q19" i="17"/>
  <c r="P19" i="17"/>
  <c r="G19" i="17"/>
  <c r="U18" i="17"/>
  <c r="T18" i="17"/>
  <c r="S18" i="17"/>
  <c r="R18" i="17"/>
  <c r="Q18" i="17"/>
  <c r="P18" i="17"/>
  <c r="G18" i="17"/>
  <c r="U17" i="17"/>
  <c r="T17" i="17"/>
  <c r="S17" i="17"/>
  <c r="R17" i="17"/>
  <c r="Q17" i="17"/>
  <c r="U16" i="17"/>
  <c r="T16" i="17"/>
  <c r="S16" i="17"/>
  <c r="R16" i="17"/>
  <c r="Q16" i="17"/>
  <c r="P16" i="17"/>
  <c r="G16" i="17"/>
  <c r="U15" i="17"/>
  <c r="T15" i="17"/>
  <c r="S15" i="17"/>
  <c r="R15" i="17"/>
  <c r="Q15" i="17"/>
  <c r="P15" i="17"/>
  <c r="G15" i="17"/>
  <c r="U14" i="17"/>
  <c r="T14" i="17"/>
  <c r="S14" i="17"/>
  <c r="R14" i="17"/>
  <c r="Q14" i="17"/>
  <c r="P14" i="17"/>
  <c r="G14" i="17"/>
  <c r="U13" i="17"/>
  <c r="T13" i="17"/>
  <c r="S13" i="17"/>
  <c r="R13" i="17"/>
  <c r="Q13" i="17"/>
  <c r="P13" i="17"/>
  <c r="G13" i="17"/>
  <c r="U12" i="17"/>
  <c r="T12" i="17"/>
  <c r="S12" i="17"/>
  <c r="R12" i="17"/>
  <c r="Q12" i="17"/>
  <c r="U11" i="17"/>
  <c r="T11" i="17"/>
  <c r="S11" i="17"/>
  <c r="R11" i="17"/>
  <c r="Q11" i="17"/>
  <c r="P11" i="17"/>
  <c r="G11" i="17"/>
  <c r="U10" i="17"/>
  <c r="T10" i="17"/>
  <c r="S10" i="17"/>
  <c r="R10" i="17"/>
  <c r="Q10" i="17"/>
  <c r="P10" i="17"/>
  <c r="G10" i="17"/>
  <c r="U9" i="17"/>
  <c r="T9" i="17"/>
  <c r="S9" i="17"/>
  <c r="R9" i="17"/>
  <c r="Q9" i="17"/>
  <c r="U8" i="17"/>
  <c r="T8" i="17"/>
  <c r="S8" i="17"/>
  <c r="R8" i="17"/>
  <c r="Q8" i="17"/>
  <c r="P8" i="17"/>
  <c r="G8" i="17"/>
  <c r="U7" i="17"/>
  <c r="T7" i="17"/>
  <c r="S7" i="17"/>
  <c r="R7" i="17"/>
  <c r="Q7" i="17"/>
  <c r="P7" i="17"/>
  <c r="G7" i="17"/>
  <c r="P6" i="17"/>
  <c r="G6" i="17"/>
  <c r="U5" i="17"/>
  <c r="T5" i="17"/>
  <c r="S5" i="17"/>
  <c r="R5" i="17"/>
  <c r="Q5" i="17"/>
  <c r="U4" i="17"/>
  <c r="T4" i="17"/>
  <c r="S4" i="17"/>
  <c r="R4" i="17"/>
  <c r="Q4" i="17"/>
  <c r="V4" i="17" s="1"/>
  <c r="BZ3" i="17"/>
  <c r="BV3" i="17"/>
  <c r="BW3" i="17" s="1"/>
  <c r="BX3" i="17" s="1"/>
  <c r="BR3" i="17"/>
  <c r="BS3" i="17" s="1"/>
  <c r="BT3" i="17" s="1"/>
  <c r="BN3" i="17"/>
  <c r="BO3" i="17" s="1"/>
  <c r="BP3" i="17" s="1"/>
  <c r="BJ3" i="17"/>
  <c r="BK3" i="17" s="1"/>
  <c r="BL3" i="17" s="1"/>
  <c r="BF3" i="17"/>
  <c r="BG3" i="17" s="1"/>
  <c r="BH3" i="17" s="1"/>
  <c r="BB3" i="17"/>
  <c r="BC3" i="17" s="1"/>
  <c r="BD3" i="17" s="1"/>
  <c r="AX3" i="17"/>
  <c r="AY3" i="17" s="1"/>
  <c r="AZ3" i="17" s="1"/>
  <c r="AT3" i="17"/>
  <c r="AU3" i="17" s="1"/>
  <c r="AV3" i="17" s="1"/>
  <c r="AP3" i="17"/>
  <c r="AQ3" i="17" s="1"/>
  <c r="AR3" i="17" s="1"/>
  <c r="AL3" i="17"/>
  <c r="AM3" i="17" s="1"/>
  <c r="AN3" i="17" s="1"/>
  <c r="AH3" i="17"/>
  <c r="AI3" i="17" s="1"/>
  <c r="AJ3" i="17" s="1"/>
  <c r="AD3" i="17"/>
  <c r="AE3" i="17" s="1"/>
  <c r="AF3" i="17" s="1"/>
  <c r="Z3" i="17"/>
  <c r="AA3" i="17" s="1"/>
  <c r="AB3" i="17" s="1"/>
  <c r="AU35" i="17" l="1"/>
  <c r="V11" i="17"/>
  <c r="V13" i="17"/>
  <c r="V23" i="17"/>
  <c r="V5" i="17"/>
  <c r="V7" i="17"/>
  <c r="V8" i="17"/>
  <c r="V15" i="17"/>
  <c r="V25" i="17"/>
  <c r="V27" i="17"/>
  <c r="V20" i="17"/>
  <c r="V10" i="17"/>
  <c r="V19" i="17"/>
  <c r="V22" i="17"/>
  <c r="V14" i="17"/>
  <c r="V24" i="17"/>
  <c r="V18" i="17"/>
  <c r="V26" i="17"/>
  <c r="V21" i="17"/>
  <c r="AT35" i="17"/>
  <c r="G31" i="23"/>
  <c r="H30" i="23"/>
  <c r="H51" i="23"/>
  <c r="G52" i="23"/>
  <c r="I9" i="23"/>
  <c r="H10" i="23"/>
  <c r="AM11" i="19"/>
  <c r="AM67" i="19" s="1"/>
  <c r="AL67" i="19"/>
  <c r="AG67" i="19"/>
  <c r="AH3" i="19"/>
  <c r="AK67" i="19"/>
  <c r="AF68" i="19"/>
  <c r="AF69" i="19" s="1"/>
  <c r="AJ68" i="19"/>
  <c r="AJ69" i="19" s="1"/>
  <c r="V6" i="17"/>
  <c r="V16" i="17"/>
  <c r="AN36" i="17"/>
  <c r="V17" i="17"/>
  <c r="V12" i="17"/>
  <c r="V9" i="17"/>
  <c r="AL35" i="17"/>
  <c r="BJ35" i="17"/>
  <c r="BZ35" i="17"/>
  <c r="AM35" i="17"/>
  <c r="BC35" i="17"/>
  <c r="BS35" i="17"/>
  <c r="X35" i="17"/>
  <c r="AF35" i="17"/>
  <c r="AN35" i="17"/>
  <c r="AV35" i="17"/>
  <c r="BD35" i="17"/>
  <c r="BL35" i="17"/>
  <c r="BT35" i="17"/>
  <c r="AT36" i="17"/>
  <c r="W35" i="17"/>
  <c r="Y35" i="17"/>
  <c r="AG35" i="17"/>
  <c r="AO35" i="17"/>
  <c r="AW35" i="17"/>
  <c r="BE35" i="17"/>
  <c r="BM35" i="17"/>
  <c r="BU35" i="17"/>
  <c r="Z35" i="17"/>
  <c r="AH35" i="17"/>
  <c r="AP35" i="17"/>
  <c r="AX35" i="17"/>
  <c r="BF35" i="17"/>
  <c r="BN35" i="17"/>
  <c r="BV35" i="17"/>
  <c r="BB36" i="17"/>
  <c r="AE35" i="17"/>
  <c r="AU36" i="17"/>
  <c r="AA35" i="17"/>
  <c r="AI35" i="17"/>
  <c r="AQ35" i="17"/>
  <c r="AY35" i="17"/>
  <c r="BG35" i="17"/>
  <c r="BO35" i="17"/>
  <c r="BW35" i="17"/>
  <c r="AD35" i="17"/>
  <c r="BR35" i="17"/>
  <c r="BK35" i="17"/>
  <c r="AB35" i="17"/>
  <c r="AJ35" i="17"/>
  <c r="AR35" i="17"/>
  <c r="AZ35" i="17"/>
  <c r="BH35" i="17"/>
  <c r="BP35" i="17"/>
  <c r="BX35" i="17"/>
  <c r="AC35" i="17"/>
  <c r="AK35" i="17"/>
  <c r="AS35" i="17"/>
  <c r="BA35" i="17"/>
  <c r="BI35" i="17"/>
  <c r="BQ35" i="17"/>
  <c r="BY35" i="17"/>
  <c r="AQ11" i="19" l="1"/>
  <c r="J9" i="23"/>
  <c r="I10" i="23"/>
  <c r="I51" i="23"/>
  <c r="H52" i="23"/>
  <c r="I30" i="23"/>
  <c r="H31" i="23"/>
  <c r="AI3" i="19"/>
  <c r="AI67" i="19" s="1"/>
  <c r="AH67" i="19"/>
  <c r="AG68" i="19"/>
  <c r="AG69" i="19" s="1"/>
  <c r="AL68" i="19"/>
  <c r="AL69" i="19" s="1"/>
  <c r="AM68" i="19"/>
  <c r="AM69" i="19" s="1"/>
  <c r="AK68" i="19"/>
  <c r="AK69" i="19" s="1"/>
  <c r="J30" i="23" l="1"/>
  <c r="I31" i="23"/>
  <c r="J51" i="23"/>
  <c r="I52" i="23"/>
  <c r="K9" i="23"/>
  <c r="J10" i="23"/>
  <c r="AQ3" i="19"/>
  <c r="AH68" i="19"/>
  <c r="AH69" i="19" s="1"/>
  <c r="AI68" i="19"/>
  <c r="AI69" i="19" s="1"/>
  <c r="K51" i="23" l="1"/>
  <c r="J52" i="23"/>
  <c r="L9" i="23"/>
  <c r="K10" i="23"/>
  <c r="K30" i="23"/>
  <c r="J31" i="23"/>
  <c r="E82" i="11"/>
  <c r="E81" i="11"/>
  <c r="E80" i="11"/>
  <c r="E79" i="11"/>
  <c r="L78" i="11"/>
  <c r="E78" i="11"/>
  <c r="E77" i="11"/>
  <c r="E76" i="11"/>
  <c r="E75" i="11"/>
  <c r="L74" i="11"/>
  <c r="E74" i="11"/>
  <c r="E73" i="11"/>
  <c r="E72" i="11"/>
  <c r="E71" i="11"/>
  <c r="E70" i="11"/>
  <c r="E69" i="11"/>
  <c r="E68" i="11"/>
  <c r="E67" i="11"/>
  <c r="E66" i="11"/>
  <c r="E65" i="11"/>
  <c r="E64" i="11"/>
  <c r="L63" i="11"/>
  <c r="E63" i="11"/>
  <c r="E62" i="11"/>
  <c r="E61" i="11"/>
  <c r="E60" i="11"/>
  <c r="E59" i="11"/>
  <c r="E58" i="11"/>
  <c r="L57" i="11"/>
  <c r="E57" i="11"/>
  <c r="E56" i="11"/>
  <c r="E55" i="11"/>
  <c r="L54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L30" i="11"/>
  <c r="E30" i="11"/>
  <c r="E29" i="11"/>
  <c r="L28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3" i="11"/>
  <c r="E2" i="11"/>
  <c r="L30" i="23" l="1"/>
  <c r="K31" i="23"/>
  <c r="M9" i="23"/>
  <c r="L10" i="23"/>
  <c r="L51" i="23"/>
  <c r="K52" i="23"/>
  <c r="AQ26" i="7"/>
  <c r="M51" i="23" l="1"/>
  <c r="L52" i="23"/>
  <c r="N9" i="23"/>
  <c r="N10" i="23" s="1"/>
  <c r="M10" i="23"/>
  <c r="M30" i="23"/>
  <c r="L31" i="23"/>
  <c r="AQ22" i="7"/>
  <c r="N30" i="23" l="1"/>
  <c r="N31" i="23" s="1"/>
  <c r="M31" i="23"/>
  <c r="N51" i="23"/>
  <c r="N52" i="23" s="1"/>
  <c r="M52" i="23"/>
  <c r="AQ11" i="7"/>
  <c r="AQ5" i="7" l="1"/>
  <c r="F49" i="7" l="1"/>
  <c r="F48" i="7"/>
  <c r="F47" i="7"/>
  <c r="F46" i="7"/>
  <c r="F45" i="7"/>
  <c r="F44" i="7"/>
  <c r="F43" i="7"/>
  <c r="AQ32" i="7"/>
  <c r="G32" i="7"/>
  <c r="F31" i="7"/>
  <c r="F30" i="7"/>
  <c r="F29" i="7"/>
  <c r="F28" i="7"/>
  <c r="F27" i="7"/>
  <c r="F26" i="7"/>
  <c r="F25" i="7"/>
  <c r="F23" i="7"/>
  <c r="F22" i="7"/>
  <c r="F21" i="7"/>
  <c r="F20" i="7"/>
  <c r="F19" i="7"/>
  <c r="F18" i="7"/>
  <c r="F24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F4" i="7"/>
  <c r="F3" i="7"/>
  <c r="AZ1" i="7"/>
  <c r="AY1" i="7"/>
  <c r="AX1" i="7"/>
  <c r="AW1" i="7"/>
  <c r="AV1" i="7"/>
  <c r="AU1" i="7"/>
  <c r="X23" i="3" l="1"/>
  <c r="V23" i="3"/>
  <c r="X26" i="3"/>
  <c r="X27" i="3"/>
  <c r="X25" i="3"/>
  <c r="V29" i="3"/>
  <c r="V24" i="3"/>
  <c r="X28" i="3"/>
  <c r="V27" i="3"/>
  <c r="X29" i="3"/>
  <c r="V25" i="3"/>
  <c r="X24" i="3"/>
  <c r="V26" i="3"/>
  <c r="V28" i="3"/>
  <c r="X35" i="3"/>
  <c r="X32" i="3"/>
  <c r="X36" i="3"/>
  <c r="X31" i="3"/>
  <c r="X30" i="3"/>
  <c r="X33" i="3"/>
  <c r="V33" i="3"/>
  <c r="V31" i="3"/>
  <c r="V32" i="3"/>
  <c r="V30" i="3"/>
  <c r="BA49" i="7"/>
  <c r="F32" i="7"/>
  <c r="BA46" i="7"/>
  <c r="BA47" i="7"/>
  <c r="BA4" i="7"/>
  <c r="BA8" i="7"/>
  <c r="BA12" i="7"/>
  <c r="BA16" i="7"/>
  <c r="BA19" i="7"/>
  <c r="BA23" i="7"/>
  <c r="BA25" i="7"/>
  <c r="BA29" i="7"/>
  <c r="BA5" i="7"/>
  <c r="BA9" i="7"/>
  <c r="BA13" i="7"/>
  <c r="BA17" i="7"/>
  <c r="BA20" i="7"/>
  <c r="BA26" i="7"/>
  <c r="BA30" i="7"/>
  <c r="BA43" i="7"/>
  <c r="BA48" i="7"/>
  <c r="BA31" i="7"/>
  <c r="BA6" i="7"/>
  <c r="BA10" i="7"/>
  <c r="BA14" i="7"/>
  <c r="BA24" i="7"/>
  <c r="BA21" i="7"/>
  <c r="BA27" i="7"/>
  <c r="BA44" i="7"/>
  <c r="BA3" i="7"/>
  <c r="BA7" i="7"/>
  <c r="BA11" i="7"/>
  <c r="BA15" i="7"/>
  <c r="BA18" i="7"/>
  <c r="BA22" i="7"/>
  <c r="BA28" i="7"/>
  <c r="BA45" i="7"/>
  <c r="V79" i="3" l="1"/>
  <c r="T80" i="3"/>
  <c r="T81" i="3" s="1"/>
  <c r="W20" i="3" l="1"/>
  <c r="X20" i="3" s="1"/>
  <c r="W19" i="3"/>
  <c r="X19" i="3" s="1"/>
  <c r="W14" i="3"/>
  <c r="X14" i="3" s="1"/>
  <c r="W7" i="3"/>
  <c r="X7" i="3" s="1"/>
  <c r="W17" i="3"/>
  <c r="X17" i="3" s="1"/>
  <c r="W12" i="3"/>
  <c r="X12" i="3" s="1"/>
  <c r="W9" i="3"/>
  <c r="X9" i="3" s="1"/>
  <c r="W11" i="3"/>
  <c r="X11" i="3" s="1"/>
  <c r="W4" i="3"/>
  <c r="X4" i="3" s="1"/>
  <c r="W3" i="3"/>
  <c r="X3" i="3" l="1"/>
  <c r="W40" i="3" l="1"/>
  <c r="X40" i="3" l="1"/>
  <c r="T141" i="20" l="1"/>
  <c r="W34" i="3" s="1"/>
  <c r="W79" i="3" s="1"/>
  <c r="X34" i="3" l="1"/>
  <c r="X79" i="3" s="1"/>
  <c r="W80" i="3"/>
  <c r="W81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Rojas Crisostomo</author>
  </authors>
  <commentList>
    <comment ref="Z22" authorId="0" shapeId="0" xr:uid="{E173A90C-4EE4-4979-8366-EA364971D743}">
      <text>
        <r>
          <rPr>
            <sz val="9"/>
            <color indexed="81"/>
            <rFont val="Tahoma"/>
            <family val="2"/>
          </rPr>
          <t>Fecha real: 
14/12/2022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Diego Valderrama Pumallihua</author>
  </authors>
  <commentList>
    <comment ref="F1" authorId="0" shapeId="0" xr:uid="{AD811909-1188-4B3E-9E0E-767BEEE96680}">
      <text>
        <r>
          <rPr>
            <b/>
            <sz val="9"/>
            <color indexed="81"/>
            <rFont val="Tahoma"/>
            <family val="2"/>
          </rPr>
          <t>Diego Valderrama Pumallihua:</t>
        </r>
        <r>
          <rPr>
            <sz val="9"/>
            <color indexed="81"/>
            <rFont val="Tahoma"/>
            <family val="2"/>
          </rPr>
          <t xml:space="preserve">
NO MODIFICAR</t>
        </r>
      </text>
    </comment>
    <comment ref="H1" authorId="0" shapeId="0" xr:uid="{53DE4DE6-705A-4D29-9352-E6754F1F4161}">
      <text>
        <r>
          <rPr>
            <b/>
            <sz val="9"/>
            <color indexed="81"/>
            <rFont val="Tahoma"/>
            <family val="2"/>
          </rPr>
          <t>Diego Valderrama Pumallihua:</t>
        </r>
        <r>
          <rPr>
            <sz val="9"/>
            <color indexed="81"/>
            <rFont val="Tahoma"/>
            <family val="2"/>
          </rPr>
          <t xml:space="preserve">
NO MODIFICAR
</t>
        </r>
      </text>
    </comment>
    <comment ref="I1" authorId="0" shapeId="0" xr:uid="{80AF4F59-3712-4DF3-B78F-975779098C41}">
      <text>
        <r>
          <rPr>
            <b/>
            <sz val="9"/>
            <color indexed="81"/>
            <rFont val="Tahoma"/>
            <family val="2"/>
          </rPr>
          <t>Diego Valderrama Pumallihua:</t>
        </r>
        <r>
          <rPr>
            <sz val="9"/>
            <color indexed="81"/>
            <rFont val="Tahoma"/>
            <family val="2"/>
          </rPr>
          <t xml:space="preserve">
NO MODIFICAR</t>
        </r>
      </text>
    </comment>
    <comment ref="J1" authorId="0" shapeId="0" xr:uid="{0648290F-7F46-487F-B6BA-E9534D3583DA}">
      <text>
        <r>
          <rPr>
            <b/>
            <sz val="9"/>
            <color indexed="81"/>
            <rFont val="Tahoma"/>
            <family val="2"/>
          </rPr>
          <t>Diego Valderrama Pumallihua:</t>
        </r>
        <r>
          <rPr>
            <sz val="9"/>
            <color indexed="81"/>
            <rFont val="Tahoma"/>
            <family val="2"/>
          </rPr>
          <t xml:space="preserve">
No modificar</t>
        </r>
      </text>
    </comment>
    <comment ref="K1" authorId="0" shapeId="0" xr:uid="{EAAF5B3A-7DF8-45F1-820A-CF375EE9D7EA}">
      <text>
        <r>
          <rPr>
            <b/>
            <sz val="9"/>
            <color indexed="81"/>
            <rFont val="Tahoma"/>
            <family val="2"/>
          </rPr>
          <t>Diego Valderrama Pumallihua:</t>
        </r>
        <r>
          <rPr>
            <sz val="9"/>
            <color indexed="81"/>
            <rFont val="Tahoma"/>
            <family val="2"/>
          </rPr>
          <t xml:space="preserve">
NO MODIFICAR</t>
        </r>
      </text>
    </comment>
    <comment ref="L1" authorId="0" shapeId="0" xr:uid="{F3818D9F-097C-496A-9D20-0DDE7896421A}">
      <text>
        <r>
          <rPr>
            <b/>
            <sz val="9"/>
            <color indexed="81"/>
            <rFont val="Tahoma"/>
            <family val="2"/>
          </rPr>
          <t>Diego Valderrama Pumallihua:</t>
        </r>
        <r>
          <rPr>
            <sz val="9"/>
            <color indexed="81"/>
            <rFont val="Tahoma"/>
            <family val="2"/>
          </rPr>
          <t xml:space="preserve">
NO MODIFICAR</t>
        </r>
      </text>
    </comment>
    <comment ref="O1" authorId="0" shapeId="0" xr:uid="{C43473C0-B252-4BA3-AB07-A8B12E86F6EF}">
      <text>
        <r>
          <rPr>
            <b/>
            <sz val="9"/>
            <color indexed="81"/>
            <rFont val="Tahoma"/>
            <family val="2"/>
          </rPr>
          <t>Diego Valderrama Pumallihua:</t>
        </r>
        <r>
          <rPr>
            <sz val="9"/>
            <color indexed="81"/>
            <rFont val="Tahoma"/>
            <family val="2"/>
          </rPr>
          <t xml:space="preserve">
NO MODIFICAR</t>
        </r>
      </text>
    </comment>
    <comment ref="P1" authorId="0" shapeId="0" xr:uid="{C8481522-86CA-4351-B7A8-2973C4184F0B}">
      <text>
        <r>
          <rPr>
            <b/>
            <sz val="9"/>
            <color indexed="81"/>
            <rFont val="Tahoma"/>
            <family val="2"/>
          </rPr>
          <t>Diego Valderrama Pumallihua:</t>
        </r>
        <r>
          <rPr>
            <sz val="9"/>
            <color indexed="81"/>
            <rFont val="Tahoma"/>
            <family val="2"/>
          </rPr>
          <t xml:space="preserve">
NO MODIFICAR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D765285-D4FE-4E23-88FE-FCA703A992FB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93BC5219-3DC7-4BCD-952D-CD43CB3DC52D}" name="WorksheetConnection_Consolidado proyectos.xlsx!Tabla1" type="102" refreshedVersion="8" minRefreshableVersion="5">
    <extLst>
      <ext xmlns:x15="http://schemas.microsoft.com/office/spreadsheetml/2010/11/main" uri="{DE250136-89BD-433C-8126-D09CA5730AF9}">
        <x15:connection id="Tabla1">
          <x15:rangePr sourceName="_xlcn.WorksheetConnection_Consolidadoproyectos.xlsxTabla11"/>
        </x15:connection>
      </ext>
    </extLst>
  </connection>
  <connection id="3" xr16:uid="{5B2CAE87-C706-4769-8ED3-9D4F36FDF3B3}" name="WorksheetConnection_Consolidado proyectos.xlsx!Tabla2" type="102" refreshedVersion="8" minRefreshableVersion="5">
    <extLst>
      <ext xmlns:x15="http://schemas.microsoft.com/office/spreadsheetml/2010/11/main" uri="{DE250136-89BD-433C-8126-D09CA5730AF9}">
        <x15:connection id="Tabla2">
          <x15:rangePr sourceName="_xlcn.WorksheetConnection_Consolidadoproyectos.xlsxTabla2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7">
    <s v="ThisWorkbookDataModel"/>
    <s v="{[Tabla1].[Estado presupuesto].&amp;[Aprobado]}"/>
    <s v="{[Tabla2].[Estado].&amp;[Cancelado]}"/>
    <s v="{[Tabla2].[Cuenta].&amp;[Cuenta 34: Activo intangible]}"/>
    <s v="{[Tabla2].[Estado].&amp;,[Tabla2].[Estado].&amp;[Pendiente]}"/>
    <s v="{[Tabla1].[Estado presupuesto].[All]}"/>
    <s v="{[Tabla1].[Estado proyecto].&amp;[En proceso]}"/>
  </metadataStrings>
  <mdxMetadata count="6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</mdx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<sst xmlns="http://schemas.openxmlformats.org/spreadsheetml/2006/main" count="5143" uniqueCount="1053">
  <si>
    <t>Mejoras al Control de Comprobantes 2022</t>
  </si>
  <si>
    <t xml:space="preserve">Implementación sistema Helpdesk </t>
  </si>
  <si>
    <t>Diagnóstico de mejora de correo electrónico - administrativo</t>
  </si>
  <si>
    <t>Diagnóstico intranet Muya</t>
  </si>
  <si>
    <t>Credimuya - mejoras</t>
  </si>
  <si>
    <t>Web Service 2022 comunicaciones SMS (Sigella, SG5)</t>
  </si>
  <si>
    <t>Segmentación de Clientes 2022</t>
  </si>
  <si>
    <t>Envío de Cronogramas (masivo)</t>
  </si>
  <si>
    <t>Envíos de Comunicaciones via Email</t>
  </si>
  <si>
    <t xml:space="preserve">Automatización de depositos bancarios </t>
  </si>
  <si>
    <t>Unificacion de base de datos - regularizar clientes y productos</t>
  </si>
  <si>
    <t>Mejora del proceso de recibos de separación CRM - cierre Caja</t>
  </si>
  <si>
    <t>Nuevo CRM - SAC</t>
  </si>
  <si>
    <t>Contabilidad</t>
  </si>
  <si>
    <t>SAC</t>
  </si>
  <si>
    <t>Comercial</t>
  </si>
  <si>
    <t>Emisión</t>
  </si>
  <si>
    <t>TN en el envío de SG5 a Exactus / Cálculo de marca</t>
  </si>
  <si>
    <t>Omnicanal</t>
  </si>
  <si>
    <t>R&amp;C</t>
  </si>
  <si>
    <t>SG5 planillas - mejoras</t>
  </si>
  <si>
    <t>GDH</t>
  </si>
  <si>
    <t>SG5 camposanto - mejoras</t>
  </si>
  <si>
    <t>Módulo de movilidades</t>
  </si>
  <si>
    <t>Mantenimiento movilidades</t>
  </si>
  <si>
    <t>Servicios digitales / Extranet</t>
  </si>
  <si>
    <t>Proceso de vacaciones SG5-CRM</t>
  </si>
  <si>
    <t>TI</t>
  </si>
  <si>
    <t>Cambio de Zoom por Gmail</t>
  </si>
  <si>
    <t>Carga de facturas a Exactus por XML</t>
  </si>
  <si>
    <t>64h o 3800 dolares</t>
  </si>
  <si>
    <t>Exactus: Log de quien registra + fecha</t>
  </si>
  <si>
    <t>Descarga Excel reporte ventas y compras desde SG5</t>
  </si>
  <si>
    <t>Marketing</t>
  </si>
  <si>
    <t>Modificaciones de la web para independizar Ecuador</t>
  </si>
  <si>
    <t>SG5 planillas - Baja de trabajadores en los sistemas</t>
  </si>
  <si>
    <t>Logistica</t>
  </si>
  <si>
    <t>Columna de ORIGEN para las OS - Peru y Ecuador</t>
  </si>
  <si>
    <t>1h</t>
  </si>
  <si>
    <t>Programación de sepelios y misas - SG5 &amp; CRM</t>
  </si>
  <si>
    <t>Control documentario NI para activación</t>
  </si>
  <si>
    <t>Prototipo - plataforma de carga de doc - 2° etapa</t>
  </si>
  <si>
    <t>Retenciones</t>
  </si>
  <si>
    <t>Tratamiento de datos</t>
  </si>
  <si>
    <t>Reporte de NI + funerarias</t>
  </si>
  <si>
    <t>Servidor espejo</t>
  </si>
  <si>
    <t>Nuevo CRM - Comercial 2024</t>
  </si>
  <si>
    <t>Mejoras agendas - CRM</t>
  </si>
  <si>
    <t>más 2 modulos Exactus</t>
  </si>
  <si>
    <t>Actividades</t>
  </si>
  <si>
    <t>Estado</t>
  </si>
  <si>
    <t>P.Manager</t>
  </si>
  <si>
    <t>Objetivo</t>
  </si>
  <si>
    <t xml:space="preserve">Estrategia </t>
  </si>
  <si>
    <t xml:space="preserve">Tactica </t>
  </si>
  <si>
    <t>Involucrados</t>
  </si>
  <si>
    <t xml:space="preserve">Observación </t>
  </si>
  <si>
    <t>Fecha Inicio</t>
  </si>
  <si>
    <t>Med</t>
  </si>
  <si>
    <t>Fecha Fin</t>
  </si>
  <si>
    <t>Fecha Fin Real</t>
  </si>
  <si>
    <t>Fusión</t>
  </si>
  <si>
    <t>Proyecto</t>
  </si>
  <si>
    <t>Moneda</t>
  </si>
  <si>
    <t>Comentario</t>
  </si>
  <si>
    <t>TOTAL</t>
  </si>
  <si>
    <t>TOTAL (S/.)</t>
  </si>
  <si>
    <t>Ejecutado</t>
  </si>
  <si>
    <t>Sin iniciar</t>
  </si>
  <si>
    <t>L Rojas</t>
  </si>
  <si>
    <t>Descripción</t>
  </si>
  <si>
    <t>Proforma digital</t>
  </si>
  <si>
    <t>Consejero envíe a través de medios digitales una proforma digital</t>
  </si>
  <si>
    <t>Identificar y asignar comisión por primer contacto en ventas NI</t>
  </si>
  <si>
    <t>Mejora de las agendas - CRM</t>
  </si>
  <si>
    <t>Mejora en el funcionamiento del módulo de agendas en el CRM</t>
  </si>
  <si>
    <t>CRM</t>
  </si>
  <si>
    <t>Asignación venta NI (Reporte funerarias)</t>
  </si>
  <si>
    <t>Consolidación de información de abonos</t>
  </si>
  <si>
    <t>Interconexión bancaria</t>
  </si>
  <si>
    <t>Interconexión Masiv vs SG5</t>
  </si>
  <si>
    <t>Módulo de comunicaciones</t>
  </si>
  <si>
    <t>SG5</t>
  </si>
  <si>
    <t>JCCh</t>
  </si>
  <si>
    <t>Descarga y subida de tramas de respuesta de los bancos + Generación de tramas para bancos</t>
  </si>
  <si>
    <t>Resultado clave</t>
  </si>
  <si>
    <t>Elaborar generador de cartas preresolutorias e Infocorp + Generación de cartas notariales</t>
  </si>
  <si>
    <t>Ejecucion de reportes Cierre contable + Generar reporte de retiro de lapidas para SAC</t>
  </si>
  <si>
    <t>Apertura de nuevos canales tradicionales y digitales</t>
  </si>
  <si>
    <t>Reporte de alianzas + cálculo de marca</t>
  </si>
  <si>
    <t>Envió de SMS masivos + bienvenida al cliente</t>
  </si>
  <si>
    <t>Incluir circulares/prom como validación en CRM</t>
  </si>
  <si>
    <t>Credimuya</t>
  </si>
  <si>
    <t>Auditorías por IVR - 2024</t>
  </si>
  <si>
    <t>Visor de documentos</t>
  </si>
  <si>
    <t>Check list - Trámite documentario</t>
  </si>
  <si>
    <t>SG5 web</t>
  </si>
  <si>
    <t>Proyectos</t>
  </si>
  <si>
    <t>Call center 24x7 - Omnicanal + CRM</t>
  </si>
  <si>
    <t>Mejora SG5 - Visualización SSFF para SAC</t>
  </si>
  <si>
    <t>Vinculación con la distribuciones en las colas de R&amp;C</t>
  </si>
  <si>
    <t>Mejora SG5 - Reporte de servicios de sepultura</t>
  </si>
  <si>
    <t>Sistema de control/uso de flota</t>
  </si>
  <si>
    <t>Cliente acepte política de tratamiento de datos personales desde el inicio (regulatorio)</t>
  </si>
  <si>
    <t>Áreas</t>
  </si>
  <si>
    <t>Responsable</t>
  </si>
  <si>
    <t>Involucrada</t>
  </si>
  <si>
    <t>1. Actualización de calificación de cliente
2. Actualización de cartera de deuda cobranza
3. Cálculo de comisiones de call center
4. Elaboración y asignación de carteras de cobranza - Sigella
5. Envió de IVR masivos
6. Renovar cartera al equipo call center</t>
  </si>
  <si>
    <t>Tesorería/SAC</t>
  </si>
  <si>
    <t>Emisión/R&amp;C</t>
  </si>
  <si>
    <t>Adm&amp;Fin</t>
  </si>
  <si>
    <t>Tymiller</t>
  </si>
  <si>
    <t>Deisy</t>
  </si>
  <si>
    <t>Andre</t>
  </si>
  <si>
    <t>Lider</t>
  </si>
  <si>
    <t>x</t>
  </si>
  <si>
    <t>Sistemas</t>
  </si>
  <si>
    <t>Otros</t>
  </si>
  <si>
    <t>Separaciones de espacio desde el CRM</t>
  </si>
  <si>
    <t>Impacto en la rentabilidad</t>
  </si>
  <si>
    <t>Dividir la dirección por calle, número, interior, etc</t>
  </si>
  <si>
    <t>LRV - 2° fase</t>
  </si>
  <si>
    <t>Mejoras Muyashop</t>
  </si>
  <si>
    <t>Consultas fallecido + espacio + seg tramite</t>
  </si>
  <si>
    <t>Compra de Laptop</t>
  </si>
  <si>
    <t>Compra de Licencias Office</t>
  </si>
  <si>
    <t>Activos y otros TI</t>
  </si>
  <si>
    <t>Alfredo</t>
  </si>
  <si>
    <t>Priscila</t>
  </si>
  <si>
    <t>Año</t>
  </si>
  <si>
    <t>Web</t>
  </si>
  <si>
    <t>Cambio a las NIIF</t>
  </si>
  <si>
    <t>EEFF por Exactus - 2° etapa</t>
  </si>
  <si>
    <t>Mejoras SG5 planillas</t>
  </si>
  <si>
    <t>Natali</t>
  </si>
  <si>
    <t>Vacaciones + asistencias + contratos</t>
  </si>
  <si>
    <t>Pagaré digital - NI+NF</t>
  </si>
  <si>
    <t>Tamaño</t>
  </si>
  <si>
    <t>M</t>
  </si>
  <si>
    <t>L</t>
  </si>
  <si>
    <t>S</t>
  </si>
  <si>
    <t>Canales de recaudo web: Refinanciamientos + pagos x la web (inc Pago efectivo) + cronograma de pagos</t>
  </si>
  <si>
    <t>Servicios: Estado de cuenta, certificados de uso, constancia de inhumación, copia de comprobante de pago</t>
  </si>
  <si>
    <t>Puntaje</t>
  </si>
  <si>
    <t>Dimensión</t>
  </si>
  <si>
    <t>Servicios a través de la web (c/s extranet) - R&amp;C</t>
  </si>
  <si>
    <t>Servicios a través de la web (c/s extranet) - SAC</t>
  </si>
  <si>
    <t>Otros canales digitales: Izipay + Yape + Cajas + cargo en cuenta</t>
  </si>
  <si>
    <t>Eficiencia operativa</t>
  </si>
  <si>
    <t>Requisito legal</t>
  </si>
  <si>
    <t>Cableado de la sede de Areq (Gabinete+equipos)</t>
  </si>
  <si>
    <t>Actualización estructura tablas CRM + módulo supervisor</t>
  </si>
  <si>
    <t>CRM módulo SAC web</t>
  </si>
  <si>
    <t>Mejora de proceso, disminución errores, optimización del uso de recursos</t>
  </si>
  <si>
    <t>Exactus</t>
  </si>
  <si>
    <t>Calidad / Satisfacción del cliente</t>
  </si>
  <si>
    <t>Esfuerzo</t>
  </si>
  <si>
    <t>Aporta una clara ventaja competitiva</t>
  </si>
  <si>
    <t>Mitigación de riesgo</t>
  </si>
  <si>
    <t>Distinción frente a la competencia.</t>
  </si>
  <si>
    <t>Exigido por la ley. Cumplimineto normativo.</t>
  </si>
  <si>
    <t>Aumenta los ingresos o dismuye los gastos.</t>
  </si>
  <si>
    <t>Mitiga riesgos como gastos extras, caidas del sistema/proceso, reclamos, etc</t>
  </si>
  <si>
    <t>Peso</t>
  </si>
  <si>
    <t>Criterios de calificación</t>
  </si>
  <si>
    <t>Relación</t>
  </si>
  <si>
    <t>Alta</t>
  </si>
  <si>
    <t>Media</t>
  </si>
  <si>
    <t>Baja</t>
  </si>
  <si>
    <t>Mejora la experiencia del cliente, brindando una mayor satisfacción con los productos de EE. (Puede ser interno o externo)</t>
  </si>
  <si>
    <t>R</t>
  </si>
  <si>
    <t>Mejora proceso de cobro cuota inicial partida</t>
  </si>
  <si>
    <t>Diagnótico de compra de licencias de Exactus</t>
  </si>
  <si>
    <t>Mejorar performance del proceso de la diferencia de TC en Exactus</t>
  </si>
  <si>
    <t>Planeam.</t>
  </si>
  <si>
    <t>Automatización BI Exactus</t>
  </si>
  <si>
    <t>1. Anticipo vs registro de facturas
2. Direccionar la orden a su centro de costo
3. Carga masiva para ingreso de almacen
4. Otras modificaciones</t>
  </si>
  <si>
    <t>Mejoras Exactus - Logística</t>
  </si>
  <si>
    <t>Yadira</t>
  </si>
  <si>
    <t>2024+</t>
  </si>
  <si>
    <t>Visitas a sede</t>
  </si>
  <si>
    <t>presupuesto x visita</t>
  </si>
  <si>
    <t>1500xvisita</t>
  </si>
  <si>
    <t>2 visitas a sede</t>
  </si>
  <si>
    <t>10K</t>
  </si>
  <si>
    <t>capacitaciones</t>
  </si>
  <si>
    <t>Reporte previo a envío SRI: ventas y compras</t>
  </si>
  <si>
    <t>Automatización para el proceso de retenciones</t>
  </si>
  <si>
    <t>Módulos: Formulación presupuestal y flujo de caja</t>
  </si>
  <si>
    <t>Web: independizar página de Ecuador</t>
  </si>
  <si>
    <t>Ec</t>
  </si>
  <si>
    <t>José</t>
  </si>
  <si>
    <t>Guillermo</t>
  </si>
  <si>
    <t>Bloqueo del CRM por vacaciones</t>
  </si>
  <si>
    <t>Canal de venta y origen de prospecto</t>
  </si>
  <si>
    <t>Envío automático de información de SG5 a Exactus</t>
  </si>
  <si>
    <t>Página web</t>
  </si>
  <si>
    <t>Modificaciones CRM - Redondeo de precios finales</t>
  </si>
  <si>
    <t>Libro de reclamaciones</t>
  </si>
  <si>
    <t>Ecuador - Planillas</t>
  </si>
  <si>
    <t>Ecuador - SG5</t>
  </si>
  <si>
    <t>Ecuador - Exactus</t>
  </si>
  <si>
    <t>Ecuador - CRM</t>
  </si>
  <si>
    <t>Ecuador - SG5 - Modificación numeracion de contratos</t>
  </si>
  <si>
    <t>Ecuador - SG5 - Registro de venta y compra + retenciones</t>
  </si>
  <si>
    <t>CRM - 32 a 64 bits</t>
  </si>
  <si>
    <t>Transferencia gratuita - Muyashop</t>
  </si>
  <si>
    <t>CRM - Validaciones correo</t>
  </si>
  <si>
    <t>Modificacion planillas - Liquidaciones, calculo EsSalud y AFP/ONP</t>
  </si>
  <si>
    <t>Modificacion planillas - Quinta categoría</t>
  </si>
  <si>
    <t>Modificaciones SG5 - Gratificaciones, vacaciones Ec y capcha-LRV</t>
  </si>
  <si>
    <t>SG5 - Validacion codigo de espacio</t>
  </si>
  <si>
    <t>Reporte recibos FOMA - Yarqa</t>
  </si>
  <si>
    <t>Trama IBK</t>
  </si>
  <si>
    <t>Log de recaudo</t>
  </si>
  <si>
    <t>Reformulación del módulo de resoluciones</t>
  </si>
  <si>
    <t>Emisión/SAC</t>
  </si>
  <si>
    <t>Cálculo de resoluciones (Sistema entrega casos a resolver y los resuelve automáticamente) + reporte + estandarización de motivos</t>
  </si>
  <si>
    <t>E</t>
  </si>
  <si>
    <t>Importador de precios</t>
  </si>
  <si>
    <t>Nueva sede Pisco</t>
  </si>
  <si>
    <t>Diagnostico CRM</t>
  </si>
  <si>
    <t>Implemenracion Muyashop</t>
  </si>
  <si>
    <t>Conciliación automática en Excel - 20% restante</t>
  </si>
  <si>
    <t>2023 + recursos</t>
  </si>
  <si>
    <t>Incluye procedimiento de apertura de sede</t>
  </si>
  <si>
    <t>Migracion pendiente de Cusco?</t>
  </si>
  <si>
    <t>acta de sac</t>
  </si>
  <si>
    <t>Nueva sede Arequipa + Procedimiento</t>
  </si>
  <si>
    <t>Automatización - Validación CUOI + separación</t>
  </si>
  <si>
    <t>Consolidación de abonos para contabilidad</t>
  </si>
  <si>
    <t>Estructurar el ingreso de la dirección en el CRM</t>
  </si>
  <si>
    <t>Módulo reportes</t>
  </si>
  <si>
    <t>Validación: servicio/código espacio</t>
  </si>
  <si>
    <t>Puesta en marcha Sistemas Ecuador</t>
  </si>
  <si>
    <t>Marcos</t>
  </si>
  <si>
    <t>interconexión Sigella vs SG5</t>
  </si>
  <si>
    <t>Sub-área</t>
  </si>
  <si>
    <t>Perú</t>
  </si>
  <si>
    <t>Ecuador</t>
  </si>
  <si>
    <t>Envío de formatos - BigDavi</t>
  </si>
  <si>
    <t>Envío de contratos - BigDavi</t>
  </si>
  <si>
    <t>Implementación Muyashop</t>
  </si>
  <si>
    <t>Operaciones</t>
  </si>
  <si>
    <t>País</t>
  </si>
  <si>
    <t>Modificaciones Exactus</t>
  </si>
  <si>
    <t>1°</t>
  </si>
  <si>
    <t>2°</t>
  </si>
  <si>
    <t>3°</t>
  </si>
  <si>
    <t>4°</t>
  </si>
  <si>
    <t>&gt;15000</t>
  </si>
  <si>
    <t>Inicial</t>
  </si>
  <si>
    <t># cuotas</t>
  </si>
  <si>
    <t>Cuota</t>
  </si>
  <si>
    <t>Monto</t>
  </si>
  <si>
    <t>&lt;5000</t>
  </si>
  <si>
    <t>10k - 15k</t>
  </si>
  <si>
    <t>5k - 10k</t>
  </si>
  <si>
    <t>IGV</t>
  </si>
  <si>
    <t>Total</t>
  </si>
  <si>
    <t>Subtotal</t>
  </si>
  <si>
    <t>Automatización en el proceso de retenciones</t>
  </si>
  <si>
    <t>Factibilidad</t>
  </si>
  <si>
    <t>Alcance</t>
  </si>
  <si>
    <t>Desarrollo</t>
  </si>
  <si>
    <t>Pruebas</t>
  </si>
  <si>
    <t>Ratificación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</si>
  <si>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</si>
  <si>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</si>
  <si>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</si>
  <si>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</si>
  <si>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</si>
  <si>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</si>
  <si>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</si>
  <si>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</si>
  <si>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</si>
  <si>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</si>
  <si>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</si>
  <si>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</si>
  <si>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#</t>
  </si>
  <si>
    <t>Funcional</t>
  </si>
  <si>
    <t>Cotizacion</t>
  </si>
  <si>
    <t>D</t>
  </si>
  <si>
    <t>P</t>
  </si>
  <si>
    <t>A</t>
  </si>
  <si>
    <t>Semanas</t>
  </si>
  <si>
    <t>XS</t>
  </si>
  <si>
    <t>D+P</t>
  </si>
  <si>
    <t>&lt;1</t>
  </si>
  <si>
    <t>1 a 4</t>
  </si>
  <si>
    <t>5 a 12</t>
  </si>
  <si>
    <t>13 a +</t>
  </si>
  <si>
    <t>Cotización</t>
  </si>
  <si>
    <t>2023-I</t>
  </si>
  <si>
    <t>2023-II</t>
  </si>
  <si>
    <t>2023-III</t>
  </si>
  <si>
    <t>2023-IV</t>
  </si>
  <si>
    <t>C</t>
  </si>
  <si>
    <t>Q</t>
  </si>
  <si>
    <t>Mejorar proceso diferencia de TC en Exactus</t>
  </si>
  <si>
    <t>(+)canales R&amp;C: Izipay + Yape + cargo en cuenta</t>
  </si>
  <si>
    <t>Agregar nuevos servicios financiados a un cronograma vigente</t>
  </si>
  <si>
    <t>Otros canales digitales: Izipay + Yape + Cajas + cargo en cuenta (+ventas x la web)</t>
  </si>
  <si>
    <t>A+P</t>
  </si>
  <si>
    <t>Directorio activo</t>
  </si>
  <si>
    <t>Integrar la gestión de usuarios de todos los sistemas</t>
  </si>
  <si>
    <t>Con un usuario ingresar a todas las sedes en SG5</t>
  </si>
  <si>
    <t>Pasar los reportes de Power BI en el CRM (hechos por Ty) a una vista protegida</t>
  </si>
  <si>
    <t>Reporte de moras</t>
  </si>
  <si>
    <t>Programación de sepelios electrónico (SAC y Parque)</t>
  </si>
  <si>
    <t>Propuesta de CC. Colocar una pantalla dentro del camposanto donde se proyecten misas, entierros, etc</t>
  </si>
  <si>
    <t>Comunicator</t>
  </si>
  <si>
    <t>Propuesta de CC. Plan de comunicaciones de Muya</t>
  </si>
  <si>
    <t>Reporte de detalle de pedidos de almacén</t>
  </si>
  <si>
    <t>Finalizado</t>
  </si>
  <si>
    <t>x Ubicaina</t>
  </si>
  <si>
    <t>En proceso</t>
  </si>
  <si>
    <t>Reorganizado</t>
  </si>
  <si>
    <t>Original</t>
  </si>
  <si>
    <t>Area</t>
  </si>
  <si>
    <t>Presupuesto</t>
  </si>
  <si>
    <t>Gasto</t>
  </si>
  <si>
    <t>Modificación del asiento contable para beneficios sociales</t>
  </si>
  <si>
    <t>Error - Correccion trama mora</t>
  </si>
  <si>
    <t>Importación 400 contratos</t>
  </si>
  <si>
    <t>Fecha errada en comprobantes</t>
  </si>
  <si>
    <t>Log cambios en primera y log consultas</t>
  </si>
  <si>
    <t>Revisón del proceso de backup</t>
  </si>
  <si>
    <t>Piloto de nueva forma de pago - SG5</t>
  </si>
  <si>
    <t>Proyecto 2023</t>
  </si>
  <si>
    <t>x codigo vs producto</t>
  </si>
  <si>
    <t>De 5 a 9</t>
  </si>
  <si>
    <t>Código</t>
  </si>
  <si>
    <t>Vacaciones</t>
  </si>
  <si>
    <t>Contratos</t>
  </si>
  <si>
    <t>Asistencias</t>
  </si>
  <si>
    <t>P202301</t>
  </si>
  <si>
    <t>P202302</t>
  </si>
  <si>
    <t>P202303</t>
  </si>
  <si>
    <t>P202304</t>
  </si>
  <si>
    <t>P202305</t>
  </si>
  <si>
    <t>P202306</t>
  </si>
  <si>
    <t>P202307</t>
  </si>
  <si>
    <t>P202308</t>
  </si>
  <si>
    <t>P202309</t>
  </si>
  <si>
    <t>P202310</t>
  </si>
  <si>
    <t>P202311</t>
  </si>
  <si>
    <t>P202312</t>
  </si>
  <si>
    <t>P202313</t>
  </si>
  <si>
    <t>P202314</t>
  </si>
  <si>
    <t>P202315</t>
  </si>
  <si>
    <t>P202316</t>
  </si>
  <si>
    <t>P202317</t>
  </si>
  <si>
    <t>P202318</t>
  </si>
  <si>
    <t>P202319</t>
  </si>
  <si>
    <t>P202320</t>
  </si>
  <si>
    <t>P202321</t>
  </si>
  <si>
    <t>Mejoras planillas</t>
  </si>
  <si>
    <t>Servicios a través de la web - R&amp;C</t>
  </si>
  <si>
    <t>Servicios a través de la web - SAC</t>
  </si>
  <si>
    <t>Mejorar proceso de diferencia de TC</t>
  </si>
  <si>
    <t>Nuevos canales de pago</t>
  </si>
  <si>
    <t>Área</t>
  </si>
  <si>
    <t>Sub-Área</t>
  </si>
  <si>
    <t>SAC&amp;Parque</t>
  </si>
  <si>
    <t>Nueva sede Arequipa</t>
  </si>
  <si>
    <t>Proveedor principal</t>
  </si>
  <si>
    <t>Kunaq</t>
  </si>
  <si>
    <t>Año Proy</t>
  </si>
  <si>
    <t>Camposanto</t>
  </si>
  <si>
    <t>Reporte detalle pedidos de almacén</t>
  </si>
  <si>
    <t>M Torres</t>
  </si>
  <si>
    <t>J Chavez</t>
  </si>
  <si>
    <t>T Llacza</t>
  </si>
  <si>
    <t>Monto sin IGV</t>
  </si>
  <si>
    <t>Fecha</t>
  </si>
  <si>
    <t>Proveedor</t>
  </si>
  <si>
    <t>Factura</t>
  </si>
  <si>
    <t>OS</t>
  </si>
  <si>
    <t>Cuenta</t>
  </si>
  <si>
    <t>Avanza</t>
  </si>
  <si>
    <t>E001-294</t>
  </si>
  <si>
    <t>CRM Ecuador</t>
  </si>
  <si>
    <t>Cuota 1/3 - 35%</t>
  </si>
  <si>
    <t>Cuenta 34: Activo intangible</t>
  </si>
  <si>
    <t>Cancelado</t>
  </si>
  <si>
    <t>E001-326</t>
  </si>
  <si>
    <t>Cuota 2/3 - 50%</t>
  </si>
  <si>
    <t>E001-2337</t>
  </si>
  <si>
    <t>Trama Interbank</t>
  </si>
  <si>
    <t>Cuota única</t>
  </si>
  <si>
    <t>FU-2022.3-013</t>
  </si>
  <si>
    <t>E001-2339</t>
  </si>
  <si>
    <t>Modificaciones GDH - SG5 planillas</t>
  </si>
  <si>
    <t>Cuota 1/3 - 30%</t>
  </si>
  <si>
    <t>BigDavi</t>
  </si>
  <si>
    <t>FU-2022.4-016</t>
  </si>
  <si>
    <t>E001-1119</t>
  </si>
  <si>
    <t>Envio de formatos - BigDavi (Setup // API)</t>
  </si>
  <si>
    <t>E001-1120</t>
  </si>
  <si>
    <t>Envio de formatos - BigDavi (Certificado digital // Token virtual)</t>
  </si>
  <si>
    <t>E001-360</t>
  </si>
  <si>
    <t>Cuota 3/3 - 15%</t>
  </si>
  <si>
    <t>E001-2499</t>
  </si>
  <si>
    <t>Mantenimiento SG5 // Feb 22 - Ene 23</t>
  </si>
  <si>
    <t>Cuota 10/12</t>
  </si>
  <si>
    <t>E001-2500</t>
  </si>
  <si>
    <t>Cuota adicional</t>
  </si>
  <si>
    <t>FU-2022.3-014</t>
  </si>
  <si>
    <t>E001-2501</t>
  </si>
  <si>
    <t>Reporte de recibos de FOMA por fechas por perfil</t>
  </si>
  <si>
    <t>E001-2502</t>
  </si>
  <si>
    <t>Cuota 2/3 - 35%</t>
  </si>
  <si>
    <t>FU-2022.4-015</t>
  </si>
  <si>
    <t>E001-2503</t>
  </si>
  <si>
    <t>Modificación log de recaudo</t>
  </si>
  <si>
    <t>Cuota 1/4 - 30%</t>
  </si>
  <si>
    <t>E001-2557</t>
  </si>
  <si>
    <t>Cuota 11/12</t>
  </si>
  <si>
    <t>E001-2558</t>
  </si>
  <si>
    <t>Cuota 3/3 - 35%</t>
  </si>
  <si>
    <t>E001-2559</t>
  </si>
  <si>
    <t>Cuota 2/4 - 70% / 3</t>
  </si>
  <si>
    <t>FU-2022.4-019</t>
  </si>
  <si>
    <t>E001-2560</t>
  </si>
  <si>
    <t>Envío de comprobantes de ventas a la OSE-SRI</t>
  </si>
  <si>
    <t>FU-2022.4-017</t>
  </si>
  <si>
    <t>E001-2561</t>
  </si>
  <si>
    <t>Envío de documentos a BigDavi</t>
  </si>
  <si>
    <t>FU-2022.4-021</t>
  </si>
  <si>
    <t>E001-381</t>
  </si>
  <si>
    <t>Validación código de espacio + bloqueo por vacaciones</t>
  </si>
  <si>
    <t>E001-2621</t>
  </si>
  <si>
    <t>Cuota 12/12</t>
  </si>
  <si>
    <t>E001-2622</t>
  </si>
  <si>
    <t>Cuota 3/4 - 70% / 3</t>
  </si>
  <si>
    <t>E001-2623</t>
  </si>
  <si>
    <t>FU-2022.4-025</t>
  </si>
  <si>
    <t>E001-2624</t>
  </si>
  <si>
    <t>Web service para consulta de estado del trabajador</t>
  </si>
  <si>
    <t>FU-2022.4-026</t>
  </si>
  <si>
    <t>E001-2625</t>
  </si>
  <si>
    <t>E001-2626</t>
  </si>
  <si>
    <t>E001-2627</t>
  </si>
  <si>
    <t>E001-2628</t>
  </si>
  <si>
    <t>E001-2704</t>
  </si>
  <si>
    <t>Mantenimiento SG5 // Feb 23 - Ene 24</t>
  </si>
  <si>
    <t>Cuota 1/12 (Feb)</t>
  </si>
  <si>
    <t>E001-2705</t>
  </si>
  <si>
    <t>Cuota 4/4 - 70% / 3</t>
  </si>
  <si>
    <t>E001-2706</t>
  </si>
  <si>
    <t>FU-2022.4-024</t>
  </si>
  <si>
    <t>E001-2707</t>
  </si>
  <si>
    <t>Envío de contratos y activación automática</t>
  </si>
  <si>
    <t>FU-2023.1-003</t>
  </si>
  <si>
    <t>E001-497</t>
  </si>
  <si>
    <t>E001-500</t>
  </si>
  <si>
    <t>OS0000796</t>
  </si>
  <si>
    <t>Mantenimiento CRM // Mar 23 - Feb 24</t>
  </si>
  <si>
    <t>Cuota 1/2</t>
  </si>
  <si>
    <t>E001-2793</t>
  </si>
  <si>
    <t>Cuota 2/12 (Mar)</t>
  </si>
  <si>
    <t>Pendiente</t>
  </si>
  <si>
    <t>E001-536</t>
  </si>
  <si>
    <t>E001-2869</t>
  </si>
  <si>
    <t>Cuota 3/12 (Abr)</t>
  </si>
  <si>
    <t>FU-2023.1-006</t>
  </si>
  <si>
    <t>E001-2871</t>
  </si>
  <si>
    <t>OS0000896</t>
  </si>
  <si>
    <t>Proceso vacaciones web</t>
  </si>
  <si>
    <t>Cuota 1/6 - 30%</t>
  </si>
  <si>
    <t>BCTS</t>
  </si>
  <si>
    <t>FU-2023.1-008</t>
  </si>
  <si>
    <t>F001-2043</t>
  </si>
  <si>
    <t>Modificar y crear reportes de pedidos de almacén - Exactus</t>
  </si>
  <si>
    <t>E001-2952</t>
  </si>
  <si>
    <t>E001-2951</t>
  </si>
  <si>
    <t>Cuota 4/12 (May)</t>
  </si>
  <si>
    <t>FU-2023.1-011</t>
  </si>
  <si>
    <t>E001-2953</t>
  </si>
  <si>
    <t>OS0000931</t>
  </si>
  <si>
    <t>FU-2023.1-009</t>
  </si>
  <si>
    <t>E001-2954</t>
  </si>
  <si>
    <t>OS0000936</t>
  </si>
  <si>
    <t>E001-3033</t>
  </si>
  <si>
    <t>E001-3032</t>
  </si>
  <si>
    <t>Cuota 5/12 (Jun)</t>
  </si>
  <si>
    <t>E001-3034</t>
  </si>
  <si>
    <t>Implementación módulos asistencia y contratos</t>
  </si>
  <si>
    <t>Cuota 1/3</t>
  </si>
  <si>
    <t>E001-3036</t>
  </si>
  <si>
    <t>Cuota 2/6 - 70% / 5</t>
  </si>
  <si>
    <t>FU-2023.1-002</t>
  </si>
  <si>
    <t>E001-3035</t>
  </si>
  <si>
    <t>Proceso vacaciones SG5</t>
  </si>
  <si>
    <t>E001-3083</t>
  </si>
  <si>
    <t>Cuota 6/12 (Jul)</t>
  </si>
  <si>
    <t>Cuota 7/12 (Ago)</t>
  </si>
  <si>
    <t>Cuota 8/12 (Sep)</t>
  </si>
  <si>
    <t>Cuota 9/12 (Oct)</t>
  </si>
  <si>
    <t>Cuota 10/12 (Nov)</t>
  </si>
  <si>
    <t>Cuota 11/12 (Dic)</t>
  </si>
  <si>
    <t>Cuota 12/12 (Ene)</t>
  </si>
  <si>
    <t>Cuota 2/2</t>
  </si>
  <si>
    <t>Cuota 3/6 - 70% / 5</t>
  </si>
  <si>
    <t>Cuota 4/6 - 70% / 5</t>
  </si>
  <si>
    <t>Cuota 5/6 - 70% / 5</t>
  </si>
  <si>
    <t>Cuota 6/6 - 70% / 5</t>
  </si>
  <si>
    <t>Cuota 2/3 - 70% / 2</t>
  </si>
  <si>
    <t>Cuota 3/3 - 70% / 2</t>
  </si>
  <si>
    <t>Cuota 2/3</t>
  </si>
  <si>
    <t>Cuota 3/3</t>
  </si>
  <si>
    <t>N Ramos</t>
  </si>
  <si>
    <t>Automatización vacaciones</t>
  </si>
  <si>
    <t>XL</t>
  </si>
  <si>
    <t>Línea de negocio</t>
  </si>
  <si>
    <t>Líder</t>
  </si>
  <si>
    <t>Estado proyecto</t>
  </si>
  <si>
    <t>Estado presupuesto</t>
  </si>
  <si>
    <t>Involucradas</t>
  </si>
  <si>
    <t>ID</t>
  </si>
  <si>
    <t>Sistema</t>
  </si>
  <si>
    <t>Intranet</t>
  </si>
  <si>
    <t>Planillas</t>
  </si>
  <si>
    <t>x Practiplan</t>
  </si>
  <si>
    <t>SOL</t>
  </si>
  <si>
    <t>DOL</t>
  </si>
  <si>
    <t>TC</t>
  </si>
  <si>
    <t>Practiplan 2 - Nueva forma de pago</t>
  </si>
  <si>
    <t>Ubicaina</t>
  </si>
  <si>
    <t>?</t>
  </si>
  <si>
    <t>Presupuesto
S/.</t>
  </si>
  <si>
    <t>Aprobado
S/.</t>
  </si>
  <si>
    <t>Ejecutado
S/.</t>
  </si>
  <si>
    <t>Etiquetas de fila</t>
  </si>
  <si>
    <t>Total general</t>
  </si>
  <si>
    <t>%
Aprob</t>
  </si>
  <si>
    <t>%
Ejec</t>
  </si>
  <si>
    <t>Suma de %
Aprob</t>
  </si>
  <si>
    <t>Detalle cuota</t>
  </si>
  <si>
    <t># Cuota</t>
  </si>
  <si>
    <t>Total cuotas</t>
  </si>
  <si>
    <t>mm.aa</t>
  </si>
  <si>
    <t>% avance aprob</t>
  </si>
  <si>
    <t>% avance proy cerrados</t>
  </si>
  <si>
    <t>cantidad proy cerrados</t>
  </si>
  <si>
    <t>acumulado proy cerrados</t>
  </si>
  <si>
    <t>Cant proy presup</t>
  </si>
  <si>
    <t>Proy aprob</t>
  </si>
  <si>
    <t>Proy aprob acum</t>
  </si>
  <si>
    <t>Cant proy aprob</t>
  </si>
  <si>
    <t>Cant proy aprob acum</t>
  </si>
  <si>
    <t>Proy pagados</t>
  </si>
  <si>
    <t>Proy pagados acum</t>
  </si>
  <si>
    <t>Fecha aprobación</t>
  </si>
  <si>
    <t>% avance proy aprob</t>
  </si>
  <si>
    <t>% avance proy pagados</t>
  </si>
  <si>
    <t>Suma de Aprobado
S/.</t>
  </si>
  <si>
    <t>mm.aa
fch aprob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</si>
  <si>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</si>
  <si>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</si>
  <si>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</si>
  <si>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</si>
  <si>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</si>
  <si>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</si>
  <si>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</si>
  <si>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</si>
  <si>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</si>
  <si>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</si>
  <si>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</si>
  <si>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</si>
  <si>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E001-3119</t>
  </si>
  <si>
    <t>E001-3120</t>
  </si>
  <si>
    <t>E001-3121</t>
  </si>
  <si>
    <t>Certificados de uso, constancia de inhumación, comprobante de pago</t>
  </si>
  <si>
    <t>Refinanciamientos, pasarela de pagos, cronograma</t>
  </si>
  <si>
    <t>OS0001027</t>
  </si>
  <si>
    <t>OS0001028</t>
  </si>
  <si>
    <t>E001-3173</t>
  </si>
  <si>
    <t>E001-3174</t>
  </si>
  <si>
    <t xml:space="preserve">SEDE </t>
  </si>
  <si>
    <t>DEPARTAMENTO</t>
  </si>
  <si>
    <t>CUENTA DE PPTO</t>
  </si>
  <si>
    <t>RUC</t>
  </si>
  <si>
    <t>PROVEEDOR</t>
  </si>
  <si>
    <t>N° DE CUENTA A NOMBRE DEL PROVEEDOR</t>
  </si>
  <si>
    <t>BANCO</t>
  </si>
  <si>
    <t>PROYECTO</t>
  </si>
  <si>
    <t>CANTIDAD</t>
  </si>
  <si>
    <t>DETALLE DE GASTO</t>
  </si>
  <si>
    <t xml:space="preserve">P.U SIN IGV </t>
  </si>
  <si>
    <t>TOTAL OC/OS SIN IGV</t>
  </si>
  <si>
    <t>Lima</t>
  </si>
  <si>
    <t>Kunaq &amp; Asociados S.A.C</t>
  </si>
  <si>
    <t>BCP</t>
  </si>
  <si>
    <t>194-2097981-0-25</t>
  </si>
  <si>
    <t>E001-825</t>
  </si>
  <si>
    <t>Avanza Soluciones S.A.C.</t>
  </si>
  <si>
    <t>194-20176075-0-72</t>
  </si>
  <si>
    <t>Cantidad a comprar</t>
  </si>
  <si>
    <t>IQ comunicación integral SAC</t>
  </si>
  <si>
    <t>570-2362319-0-81</t>
  </si>
  <si>
    <t>15 días</t>
  </si>
  <si>
    <t>Sede</t>
  </si>
  <si>
    <t>Departamento</t>
  </si>
  <si>
    <t>Cuenta de ppto</t>
  </si>
  <si>
    <t>Banco</t>
  </si>
  <si>
    <t>Precio unitario sin IGV</t>
  </si>
  <si>
    <t>Total sin IGV</t>
  </si>
  <si>
    <t>Condición de pago</t>
  </si>
  <si>
    <t>Comprobante a recibir</t>
  </si>
  <si>
    <t>N° de cuenta</t>
  </si>
  <si>
    <t>30 días</t>
  </si>
  <si>
    <t>Creación del portal del cliente (SAC y R&amp;C)</t>
  </si>
  <si>
    <t>Modificación módulo de contratos (GDH)</t>
  </si>
  <si>
    <t>Soles</t>
  </si>
  <si>
    <t>Modificación del módulo de contratos</t>
  </si>
  <si>
    <t>FU-2023.3-020</t>
  </si>
  <si>
    <t>Cuota 1/2 - 50%</t>
  </si>
  <si>
    <t>Cuota 2/2 - 50%</t>
  </si>
  <si>
    <t xml:space="preserve">FU-2023.3-017 </t>
  </si>
  <si>
    <t>IQ</t>
  </si>
  <si>
    <t>FU-2023.3-018</t>
  </si>
  <si>
    <t>Portal del cliente</t>
  </si>
  <si>
    <t>Portal web del cliente</t>
  </si>
  <si>
    <t>Cuota 1/3 -30%</t>
  </si>
  <si>
    <t>Cuota 2/3 -35%</t>
  </si>
  <si>
    <t>Cuota 3/3- 35%</t>
  </si>
  <si>
    <t>Fecha de solicitud</t>
  </si>
  <si>
    <t>OS00001199</t>
  </si>
  <si>
    <t>OS00001223</t>
  </si>
  <si>
    <t>OS00001224</t>
  </si>
  <si>
    <t>OS00001225</t>
  </si>
  <si>
    <t>F Venc</t>
  </si>
  <si>
    <t>E001-3267</t>
  </si>
  <si>
    <t>E001-3268</t>
  </si>
  <si>
    <t>E001-3269</t>
  </si>
  <si>
    <t>E001-3270</t>
  </si>
  <si>
    <t>E001-1880</t>
  </si>
  <si>
    <t>E001-3271</t>
  </si>
  <si>
    <t>N° Factura</t>
  </si>
  <si>
    <t>F. Emisión</t>
  </si>
  <si>
    <t>F. Vencimiento</t>
  </si>
  <si>
    <t xml:space="preserve">S/                      727.00 </t>
  </si>
  <si>
    <t xml:space="preserve">S/                   5,295.84 </t>
  </si>
  <si>
    <t xml:space="preserve">S/                   5,669.66 </t>
  </si>
  <si>
    <t xml:space="preserve">S/                   4,267.82 </t>
  </si>
  <si>
    <t xml:space="preserve">S/                   4,818.18 </t>
  </si>
  <si>
    <t xml:space="preserve">S/                   2,422.93 </t>
  </si>
  <si>
    <t>Avanza Soluciones S.A.C</t>
  </si>
  <si>
    <t>Practiplan</t>
  </si>
  <si>
    <t>FU-2023.3-019</t>
  </si>
  <si>
    <t>Nueva forma de pago - SG5</t>
  </si>
  <si>
    <t>E001-3277</t>
  </si>
  <si>
    <t>Cuota 2/2 - 50% (Nov)</t>
  </si>
  <si>
    <t>Cuota 1/2 - 50% (Oct)</t>
  </si>
  <si>
    <t>OS00001257</t>
  </si>
  <si>
    <t>Cuota única (fin de proyecto)</t>
  </si>
  <si>
    <t>E001-3278</t>
  </si>
  <si>
    <t>Pagado</t>
  </si>
  <si>
    <t>OS00001258</t>
  </si>
  <si>
    <t>Modificación en la distribución de espacios</t>
  </si>
  <si>
    <t xml:space="preserve">Cuota 1/2 - 50% </t>
  </si>
  <si>
    <t xml:space="preserve">Cuota 2/2 - 50% </t>
  </si>
  <si>
    <t>FU-2023.3-021</t>
  </si>
  <si>
    <t>Set</t>
  </si>
  <si>
    <t>OS00001281</t>
  </si>
  <si>
    <t>F001-00002194</t>
  </si>
  <si>
    <t>Nueva forma de pago - CRM</t>
  </si>
  <si>
    <t>E001-3298</t>
  </si>
  <si>
    <t>E001-3299</t>
  </si>
  <si>
    <t>E001-3300</t>
  </si>
  <si>
    <t>Llave</t>
  </si>
  <si>
    <t>E001-3302</t>
  </si>
  <si>
    <t>FU-2023.4-023</t>
  </si>
  <si>
    <t>Implementación de las NIIF</t>
  </si>
  <si>
    <t>Cuota 1/3 - 30%. Parte 2</t>
  </si>
  <si>
    <t>Cuota 2/3 - 35%. Parte 2</t>
  </si>
  <si>
    <t>Mes aprob</t>
  </si>
  <si>
    <t>Validación CUOI - 1° parte (Macros)</t>
  </si>
  <si>
    <t>Modificación de envío de asientos</t>
  </si>
  <si>
    <t>Mejora del proceso de cancelaciones</t>
  </si>
  <si>
    <t>Elaboración de notas de los EEFF</t>
  </si>
  <si>
    <t>Control de obligaciones financieras</t>
  </si>
  <si>
    <t>Mejora pago a proveedores</t>
  </si>
  <si>
    <t>Separación de espacios</t>
  </si>
  <si>
    <t>Automatización de asistencia</t>
  </si>
  <si>
    <t>Búsqueda fallecido cliente</t>
  </si>
  <si>
    <t>Visor</t>
  </si>
  <si>
    <t>P202401</t>
  </si>
  <si>
    <t>P202402</t>
  </si>
  <si>
    <t>P202403</t>
  </si>
  <si>
    <t>P202404</t>
  </si>
  <si>
    <t>P202405</t>
  </si>
  <si>
    <t>P202406</t>
  </si>
  <si>
    <t>P202407</t>
  </si>
  <si>
    <t>P202408</t>
  </si>
  <si>
    <t>P202409</t>
  </si>
  <si>
    <t>P202410</t>
  </si>
  <si>
    <t>P202411</t>
  </si>
  <si>
    <t>JCB</t>
  </si>
  <si>
    <t>EXE</t>
  </si>
  <si>
    <t>E001-3344</t>
  </si>
  <si>
    <t>OS00001394</t>
  </si>
  <si>
    <t>OS00001393</t>
  </si>
  <si>
    <t>Mantenimiento ERP Exactus // del 20/10/23 al 20/10/24</t>
  </si>
  <si>
    <t>E001-3358</t>
  </si>
  <si>
    <t>E001-3359</t>
  </si>
  <si>
    <t>E001-3360</t>
  </si>
  <si>
    <t>E001-3361</t>
  </si>
  <si>
    <t>FU-2023.4-025</t>
  </si>
  <si>
    <t>FU-2023.4-022</t>
  </si>
  <si>
    <t>Carencia por sede</t>
  </si>
  <si>
    <t>Modificación proceso de firma</t>
  </si>
  <si>
    <t>Tratamiento de datos- SG5</t>
  </si>
  <si>
    <t>FU-2023.4-024</t>
  </si>
  <si>
    <t>BigDavi S.A.C</t>
  </si>
  <si>
    <t>194-2493856-0-62</t>
  </si>
  <si>
    <t>Implementación sede Arequipa en  CRM</t>
  </si>
  <si>
    <t>Pago ventanilla Caja Arequipa</t>
  </si>
  <si>
    <t>E001-1006</t>
  </si>
  <si>
    <t>OS00001490</t>
  </si>
  <si>
    <t>OS00001486</t>
  </si>
  <si>
    <t>OS00001487</t>
  </si>
  <si>
    <t>Contratos digitales - Parte 2</t>
  </si>
  <si>
    <t>OS00001488</t>
  </si>
  <si>
    <t>OS00001489</t>
  </si>
  <si>
    <t>OS00001499</t>
  </si>
  <si>
    <t>Contratos digitales - Parte 1</t>
  </si>
  <si>
    <t>E001-3418</t>
  </si>
  <si>
    <t>Contrato digital</t>
  </si>
  <si>
    <t>Portal del cliente- modificación de la web</t>
  </si>
  <si>
    <t>Exe</t>
  </si>
  <si>
    <t>193-1738457-1-80</t>
  </si>
  <si>
    <t>F001 - 00000437</t>
  </si>
  <si>
    <t>OS00001512</t>
  </si>
  <si>
    <t>no registrar</t>
  </si>
  <si>
    <t xml:space="preserve">Cuota única </t>
  </si>
  <si>
    <t>E001-1031</t>
  </si>
  <si>
    <t xml:space="preserve">Cuota 1/5 - 30% </t>
  </si>
  <si>
    <t>Optimización de SG5 planillas - Desarrollos</t>
  </si>
  <si>
    <t>FU-2023.2-014</t>
  </si>
  <si>
    <t>Cuota 2/5 - 17.5%</t>
  </si>
  <si>
    <t>Cuota 3/5 - 17.5%</t>
  </si>
  <si>
    <t>Cuota 4/5 - 17.5%</t>
  </si>
  <si>
    <t>Cuota 5/5 - 17.5%</t>
  </si>
  <si>
    <t xml:space="preserve">Cuota 1/3 - 30% </t>
  </si>
  <si>
    <t xml:space="preserve">Cuota 2/3 - 35% </t>
  </si>
  <si>
    <t>FU-2023.4-026</t>
  </si>
  <si>
    <t>Ubicación de espacios y fallecidos</t>
  </si>
  <si>
    <t>E001-3456</t>
  </si>
  <si>
    <t>E001-3457</t>
  </si>
  <si>
    <t>E001-3458</t>
  </si>
  <si>
    <t>E001-3459</t>
  </si>
  <si>
    <t>E001-3460</t>
  </si>
  <si>
    <t>E001-3461</t>
  </si>
  <si>
    <t>E001-3462</t>
  </si>
  <si>
    <t>E001-3463</t>
  </si>
  <si>
    <t>OS00001554</t>
  </si>
  <si>
    <t>OS00001553</t>
  </si>
  <si>
    <t>OS00001552</t>
  </si>
  <si>
    <t>OS00001551</t>
  </si>
  <si>
    <t>OS00001550</t>
  </si>
  <si>
    <t>E001-3483</t>
  </si>
  <si>
    <t>E001-3481</t>
  </si>
  <si>
    <t>E001-3482</t>
  </si>
  <si>
    <t>E001-3484</t>
  </si>
  <si>
    <t>E001-3480</t>
  </si>
  <si>
    <t>SAC centralizado</t>
  </si>
  <si>
    <t>Suspiro</t>
  </si>
  <si>
    <t>E001-3493</t>
  </si>
  <si>
    <t>Mantenimiento SG5 // Feb 24 - Ene 25</t>
  </si>
  <si>
    <t>OS00001578</t>
  </si>
  <si>
    <t>OS00001579</t>
  </si>
  <si>
    <t>E001-3542</t>
  </si>
  <si>
    <t>E001-3541</t>
  </si>
  <si>
    <t>FFF1-001910</t>
  </si>
  <si>
    <t>Mantenimiento SG5 // Feb 24 - Ene 25 (Operaciones)</t>
  </si>
  <si>
    <t>20 días</t>
  </si>
  <si>
    <t>Cuota 10/12 (Nob)</t>
  </si>
  <si>
    <t>OS00001655</t>
  </si>
  <si>
    <t>E001-3605</t>
  </si>
  <si>
    <t>E001-3604</t>
  </si>
  <si>
    <t>Mantenimiento y Soporte del CRM (Operaciones)</t>
  </si>
  <si>
    <t>10 días</t>
  </si>
  <si>
    <t>15 fías</t>
  </si>
  <si>
    <t>Modificación del CRM</t>
  </si>
  <si>
    <t>E001-3676</t>
  </si>
  <si>
    <t>E001-3677</t>
  </si>
  <si>
    <t>E001-1262</t>
  </si>
  <si>
    <t>OS00001733</t>
  </si>
  <si>
    <t>E001-1307</t>
  </si>
  <si>
    <t xml:space="preserve">Campaña emailing </t>
  </si>
  <si>
    <t>Modificación reporte NIIF</t>
  </si>
  <si>
    <t>Modificación del API</t>
  </si>
  <si>
    <t>E001-2004</t>
  </si>
  <si>
    <t>Portal del cliente-parte 3</t>
  </si>
  <si>
    <t>Portal del cliente-parte 2</t>
  </si>
  <si>
    <t>Cuota 3/3 -  35%</t>
  </si>
  <si>
    <t>E001-3652</t>
  </si>
  <si>
    <t>Robustecimiento de contraseña</t>
  </si>
  <si>
    <t>FU-2024.1-001</t>
  </si>
  <si>
    <t>Modificación del CRM - Bloqueo del celular</t>
  </si>
  <si>
    <t>Aprobados para el 2024</t>
  </si>
  <si>
    <t>P202412</t>
  </si>
  <si>
    <t>P202413</t>
  </si>
  <si>
    <t>P202414</t>
  </si>
  <si>
    <t>E001-3725</t>
  </si>
  <si>
    <t>E001-3724</t>
  </si>
  <si>
    <t>E001-3723</t>
  </si>
  <si>
    <t>F-1001</t>
  </si>
  <si>
    <t>F-1002</t>
  </si>
  <si>
    <t>F-1003</t>
  </si>
  <si>
    <t>F-1004</t>
  </si>
  <si>
    <t>F-1005</t>
  </si>
  <si>
    <t>F-1006</t>
  </si>
  <si>
    <t>F-1007</t>
  </si>
  <si>
    <t>F-1008</t>
  </si>
  <si>
    <t>F-1009</t>
  </si>
  <si>
    <t>F-1010</t>
  </si>
  <si>
    <t>F-1011</t>
  </si>
  <si>
    <t>F-1012</t>
  </si>
  <si>
    <t>F-1013</t>
  </si>
  <si>
    <t>F-1014</t>
  </si>
  <si>
    <t>F-1015</t>
  </si>
  <si>
    <t>F-1016</t>
  </si>
  <si>
    <t>F-1017</t>
  </si>
  <si>
    <t>F-1018</t>
  </si>
  <si>
    <t>F-1019</t>
  </si>
  <si>
    <t>F-1020</t>
  </si>
  <si>
    <t>F-1021</t>
  </si>
  <si>
    <t>F-1022</t>
  </si>
  <si>
    <t>F-1023</t>
  </si>
  <si>
    <t>F-1024</t>
  </si>
  <si>
    <t>F-1025</t>
  </si>
  <si>
    <t>F-1026</t>
  </si>
  <si>
    <t>F-1027</t>
  </si>
  <si>
    <t>F-1028</t>
  </si>
  <si>
    <t>F-1029</t>
  </si>
  <si>
    <t>F-1030</t>
  </si>
  <si>
    <t>F-1031</t>
  </si>
  <si>
    <t>F-1032</t>
  </si>
  <si>
    <t>F-1033</t>
  </si>
  <si>
    <t>F-1034</t>
  </si>
  <si>
    <t>F-1035</t>
  </si>
  <si>
    <t>F-1036</t>
  </si>
  <si>
    <t>F-1037</t>
  </si>
  <si>
    <t>F-1038</t>
  </si>
  <si>
    <t>F-1039</t>
  </si>
  <si>
    <t>F-1040</t>
  </si>
  <si>
    <t>F-1041</t>
  </si>
  <si>
    <t>F-1042</t>
  </si>
  <si>
    <t>F-1043</t>
  </si>
  <si>
    <t>F-1044</t>
  </si>
  <si>
    <t>F-1045</t>
  </si>
  <si>
    <t>F-1046</t>
  </si>
  <si>
    <t>F-1047</t>
  </si>
  <si>
    <t>F-1048</t>
  </si>
  <si>
    <t>F-1049</t>
  </si>
  <si>
    <t>F-1050</t>
  </si>
  <si>
    <t>F-1051</t>
  </si>
  <si>
    <t>F-1052</t>
  </si>
  <si>
    <t>F-1053</t>
  </si>
  <si>
    <t>F-1054</t>
  </si>
  <si>
    <t>F-1055</t>
  </si>
  <si>
    <t>F-1056</t>
  </si>
  <si>
    <t>F-1057</t>
  </si>
  <si>
    <t>F-1058</t>
  </si>
  <si>
    <t>F-1059</t>
  </si>
  <si>
    <t>F-1060</t>
  </si>
  <si>
    <t>F-1061</t>
  </si>
  <si>
    <t>F-1062</t>
  </si>
  <si>
    <t>F-1063</t>
  </si>
  <si>
    <t>F-1064</t>
  </si>
  <si>
    <t>F-1065</t>
  </si>
  <si>
    <t>F-1066</t>
  </si>
  <si>
    <t>F-1067</t>
  </si>
  <si>
    <t>F-1068</t>
  </si>
  <si>
    <t>F-1069</t>
  </si>
  <si>
    <t>F-1070</t>
  </si>
  <si>
    <t>F-1071</t>
  </si>
  <si>
    <t>F-1072</t>
  </si>
  <si>
    <t>F-1073</t>
  </si>
  <si>
    <t>F-1074</t>
  </si>
  <si>
    <t>F-1075</t>
  </si>
  <si>
    <t>F-1076</t>
  </si>
  <si>
    <t>F-1077</t>
  </si>
  <si>
    <t>F-1078</t>
  </si>
  <si>
    <t>F-1079</t>
  </si>
  <si>
    <t>F-1080</t>
  </si>
  <si>
    <t>F-1081</t>
  </si>
  <si>
    <t>F-1082</t>
  </si>
  <si>
    <t>F-1083</t>
  </si>
  <si>
    <t>F-1084</t>
  </si>
  <si>
    <t>F-1085</t>
  </si>
  <si>
    <t>F-1086</t>
  </si>
  <si>
    <t>F-1087</t>
  </si>
  <si>
    <t>F-1088</t>
  </si>
  <si>
    <t>F-1089</t>
  </si>
  <si>
    <t>F-1090</t>
  </si>
  <si>
    <t>F-1091</t>
  </si>
  <si>
    <t>F-1092</t>
  </si>
  <si>
    <t>F-1093</t>
  </si>
  <si>
    <t>F-1094</t>
  </si>
  <si>
    <t>F-1095</t>
  </si>
  <si>
    <t>F-1096</t>
  </si>
  <si>
    <t>F-1097</t>
  </si>
  <si>
    <t>F-1098</t>
  </si>
  <si>
    <t>F-1099</t>
  </si>
  <si>
    <t>F-1100</t>
  </si>
  <si>
    <t>F-1101</t>
  </si>
  <si>
    <t>F-1102</t>
  </si>
  <si>
    <t>F-1103</t>
  </si>
  <si>
    <t>F-1104</t>
  </si>
  <si>
    <t>F-1105</t>
  </si>
  <si>
    <t>F-1106</t>
  </si>
  <si>
    <t>F-1107</t>
  </si>
  <si>
    <t>F-1108</t>
  </si>
  <si>
    <t>F-1109</t>
  </si>
  <si>
    <t>F-1110</t>
  </si>
  <si>
    <t>F-1111</t>
  </si>
  <si>
    <t>F-1112</t>
  </si>
  <si>
    <t>F-1113</t>
  </si>
  <si>
    <t>F-1114</t>
  </si>
  <si>
    <t>F-1115</t>
  </si>
  <si>
    <t>F-1116</t>
  </si>
  <si>
    <t>F-1117</t>
  </si>
  <si>
    <t>F-1118</t>
  </si>
  <si>
    <t>F-1119</t>
  </si>
  <si>
    <t>F-1120</t>
  </si>
  <si>
    <t>F-1121</t>
  </si>
  <si>
    <t>F-1122</t>
  </si>
  <si>
    <t>F-1123</t>
  </si>
  <si>
    <t>F-1124</t>
  </si>
  <si>
    <t>F-1125</t>
  </si>
  <si>
    <t>F-1126</t>
  </si>
  <si>
    <t>F-1127</t>
  </si>
  <si>
    <t>F-1128</t>
  </si>
  <si>
    <t>F-1129</t>
  </si>
  <si>
    <t>F-1130</t>
  </si>
  <si>
    <t>F-1131</t>
  </si>
  <si>
    <t>F-1132</t>
  </si>
  <si>
    <t>F-1133</t>
  </si>
  <si>
    <t>F-1134</t>
  </si>
  <si>
    <t>F-1135</t>
  </si>
  <si>
    <t>P-1</t>
  </si>
  <si>
    <t>P-2</t>
  </si>
  <si>
    <t>P-3</t>
  </si>
  <si>
    <t>P-4</t>
  </si>
  <si>
    <t>P-5</t>
  </si>
  <si>
    <t>P-6</t>
  </si>
  <si>
    <t>P-7</t>
  </si>
  <si>
    <t>P-8</t>
  </si>
  <si>
    <t>P-9</t>
  </si>
  <si>
    <t>P-10</t>
  </si>
  <si>
    <t>P-11</t>
  </si>
  <si>
    <t>P-12</t>
  </si>
  <si>
    <t>P-13</t>
  </si>
  <si>
    <t>P-14</t>
  </si>
  <si>
    <t>P-15</t>
  </si>
  <si>
    <t>P-16</t>
  </si>
  <si>
    <t>P-17</t>
  </si>
  <si>
    <t>P-18</t>
  </si>
  <si>
    <t>P-19</t>
  </si>
  <si>
    <t>P-20</t>
  </si>
  <si>
    <t>P-21</t>
  </si>
  <si>
    <t>P-22</t>
  </si>
  <si>
    <t>P-23</t>
  </si>
  <si>
    <t>P-24</t>
  </si>
  <si>
    <t>P-25</t>
  </si>
  <si>
    <t>P-26</t>
  </si>
  <si>
    <t>P-27</t>
  </si>
  <si>
    <t>P-28</t>
  </si>
  <si>
    <t>P-29</t>
  </si>
  <si>
    <t>P-30</t>
  </si>
  <si>
    <t>P-31</t>
  </si>
  <si>
    <t>P-32</t>
  </si>
  <si>
    <t>P-33</t>
  </si>
  <si>
    <t>P-34</t>
  </si>
  <si>
    <t>Fecha pago</t>
  </si>
  <si>
    <t>Fecha de hoy</t>
  </si>
  <si>
    <t>F. actualizado</t>
  </si>
  <si>
    <t>Indicadores de Portal Web</t>
  </si>
  <si>
    <t xml:space="preserve">Indicadores del Área </t>
  </si>
  <si>
    <t>OS00001805</t>
  </si>
  <si>
    <t>OS00001806</t>
  </si>
  <si>
    <t>Etiquetas de columna</t>
  </si>
  <si>
    <t>Suma de Aprobado S/.</t>
  </si>
  <si>
    <t>Aprobado</t>
  </si>
  <si>
    <t>Suma de Presupuesto S/.</t>
  </si>
  <si>
    <t>Suma de Cuota</t>
  </si>
  <si>
    <t>Suma de Ejecutado S/.</t>
  </si>
  <si>
    <t>Recuento de Proyecto</t>
  </si>
  <si>
    <t>(Varios elementos)</t>
  </si>
  <si>
    <t>P-35</t>
  </si>
  <si>
    <t>P202415</t>
  </si>
  <si>
    <t>P-36</t>
  </si>
  <si>
    <t>P202416</t>
  </si>
  <si>
    <t>All</t>
  </si>
  <si>
    <t>Suma de % Ejec</t>
  </si>
  <si>
    <t>Avance</t>
  </si>
  <si>
    <t>Falta</t>
  </si>
  <si>
    <t>finalizado</t>
  </si>
  <si>
    <t>E001-3778</t>
  </si>
  <si>
    <t>E001-3779</t>
  </si>
  <si>
    <t>E001-3828</t>
  </si>
  <si>
    <t>E001-3853</t>
  </si>
  <si>
    <t>E001-3852</t>
  </si>
  <si>
    <t>Proceso vacaciones web (apariencia)</t>
  </si>
  <si>
    <t>Cuota S/.</t>
  </si>
  <si>
    <t>E001-3910</t>
  </si>
  <si>
    <t>E001-3911</t>
  </si>
  <si>
    <t>P-37</t>
  </si>
  <si>
    <t>P202417</t>
  </si>
  <si>
    <t>Modificación del CRM - Contraseña</t>
  </si>
  <si>
    <t>Modificación del CRM - contraseñas</t>
  </si>
  <si>
    <t>Cuota unica</t>
  </si>
  <si>
    <t xml:space="preserve">Modificación del CRM - Cambio de dominio </t>
  </si>
  <si>
    <t>Modificación del CRM - Cambio de dominio</t>
  </si>
  <si>
    <t>F-1136</t>
  </si>
  <si>
    <t>F-1137</t>
  </si>
  <si>
    <t>OS00001951</t>
  </si>
  <si>
    <t>OS00001952</t>
  </si>
  <si>
    <t>P-38</t>
  </si>
  <si>
    <t>P202418</t>
  </si>
  <si>
    <t>E001-3988</t>
  </si>
  <si>
    <t>E001-1701</t>
  </si>
  <si>
    <t>Reporte de cobranza</t>
  </si>
  <si>
    <t>F-1138</t>
  </si>
  <si>
    <t>P-39</t>
  </si>
  <si>
    <t>P202419</t>
  </si>
  <si>
    <t>Proyecto Suspiro</t>
  </si>
  <si>
    <t>F-1139</t>
  </si>
  <si>
    <t>OS00001976</t>
  </si>
  <si>
    <t>Proyecto suspiro</t>
  </si>
  <si>
    <t>F-1140</t>
  </si>
  <si>
    <t>F-1141</t>
  </si>
  <si>
    <t>Suma de Cuota S/.</t>
  </si>
  <si>
    <t>E001-4046</t>
  </si>
  <si>
    <t>OS00001896</t>
  </si>
  <si>
    <t>F-1142</t>
  </si>
  <si>
    <t>sol</t>
  </si>
  <si>
    <t>P-40</t>
  </si>
  <si>
    <t>P202420</t>
  </si>
  <si>
    <t>Saldos provisión vacaciones</t>
  </si>
  <si>
    <t>Importar saldos</t>
  </si>
  <si>
    <t>Provisiones complementarias</t>
  </si>
  <si>
    <t>Cuota 2/4 - 33.3%</t>
  </si>
  <si>
    <t>Cuota 3/4 - 33.3%</t>
  </si>
  <si>
    <t>Cuota 4/4 - 33.3%</t>
  </si>
  <si>
    <t>Saldos de provisión</t>
  </si>
  <si>
    <t>Anulado</t>
  </si>
  <si>
    <t>Emitido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</si>
</sst>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4" formatCode="_-&quot;S/&quot;\ * #,##0.00_-;\-&quot;S/&quot;\ * #,##0.00_-;_-&quot;S/&quot;\ * &quot;-&quot;??_-;_-@_-"/>
    <numFmt numFmtId="43" formatCode="_-* #,##0.00_-;\-* #,##0.00_-;_-* &quot;-&quot;??_-;_-@_-"/>
    <numFmt numFmtId="164" formatCode="_-[$$-409]* #,##0.00_ ;_-[$$-409]* \-#,##0.00\ ;_-[$$-409]* &quot;-&quot;??_ ;_-@_ "/>
    <numFmt numFmtId="165" formatCode="_-&quot;S/&quot;\ * #,##0_-;\-&quot;S/&quot;\ * #,##0_-;_-&quot;S/&quot;\ * &quot;-&quot;??_-;_-@_-"/>
    <numFmt numFmtId="166" formatCode="_-* #,##0_-;\-* #,##0_-;_-* &quot;-&quot;??_-;_-@_-"/>
    <numFmt numFmtId="167" formatCode="_-[$$-540A]* #,##0.00_ ;_-[$$-540A]* \-#,##0.00\ ;_-[$$-540A]* &quot;-&quot;??_ ;_-@_ "/>
    <numFmt numFmtId="168" formatCode="_-[$$-45C]* #,##0.00_-;\-[$$-45C]* #,##0.00_-;_-[$$-45C]* &quot;-&quot;??_-;_-@_-"/>
    <numFmt numFmtId="169" formatCode="_-[$S/-280A]\ * #,##0.00_-;\-[$S/-280A]\ * #,##0.00_-;_-[$S/-280A]\ * &quot;-&quot;??_-;_-@_-"/>
    <numFmt numFmtId="170" formatCode="_-[$S/-280A]\ * #,##0.0_-;\-[$S/-280A]\ * #,##0.0_-;_-[$S/-280A]\ * &quot;-&quot;??_-;_-@_-"/>
    <numFmt numFmtId="171" formatCode="_-[$S/-280A]\ * #,##0_-;\-[$S/-280A]\ * #,##0_-;_-[$S/-280A]\ * &quot;-&quot;??_-;_-@_-"/>
    <numFmt numFmtId="172" formatCode="_-&quot;S/&quot;\ * #,##0.0_-;\-&quot;S/&quot;\ * #,##0.0_-;_-&quot;S/&quot;\ 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2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72"/>
      <color theme="0"/>
      <name val="Monotype Corsiva"/>
      <family val="4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4472C4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206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70">
    <xf numFmtId="0" fontId="0" fillId="0" borderId="0" xfId="0"/>
    <xf numFmtId="0" fontId="0" fillId="2" borderId="0" xfId="0" applyFill="1"/>
    <xf numFmtId="0" fontId="0" fillId="3" borderId="0" xfId="0" applyFill="1"/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44" fontId="0" fillId="0" borderId="1" xfId="1" applyFont="1" applyBorder="1" applyAlignment="1">
      <alignment vertical="center"/>
    </xf>
    <xf numFmtId="0" fontId="0" fillId="4" borderId="0" xfId="0" applyFill="1"/>
    <xf numFmtId="0" fontId="0" fillId="5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44" fontId="0" fillId="5" borderId="1" xfId="0" applyNumberFormat="1" applyFill="1" applyBorder="1" applyAlignment="1">
      <alignment vertical="center"/>
    </xf>
    <xf numFmtId="17" fontId="0" fillId="5" borderId="1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44" fontId="0" fillId="3" borderId="1" xfId="1" applyFont="1" applyFill="1" applyBorder="1" applyAlignment="1">
      <alignment vertical="center"/>
    </xf>
    <xf numFmtId="0" fontId="4" fillId="9" borderId="1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textRotation="90"/>
    </xf>
    <xf numFmtId="0" fontId="3" fillId="0" borderId="0" xfId="0" applyFont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textRotation="90"/>
    </xf>
    <xf numFmtId="0" fontId="0" fillId="0" borderId="0" xfId="0" applyAlignment="1">
      <alignment horizontal="center" vertical="center" wrapText="1"/>
    </xf>
    <xf numFmtId="0" fontId="0" fillId="9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44" fontId="0" fillId="0" borderId="1" xfId="1" applyFont="1" applyFill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44" fontId="5" fillId="0" borderId="1" xfId="1" applyFont="1" applyBorder="1" applyAlignment="1">
      <alignment vertical="center"/>
    </xf>
    <xf numFmtId="9" fontId="0" fillId="0" borderId="1" xfId="0" applyNumberFormat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44" fontId="5" fillId="5" borderId="1" xfId="0" applyNumberFormat="1" applyFont="1" applyFill="1" applyBorder="1" applyAlignment="1">
      <alignment vertical="center"/>
    </xf>
    <xf numFmtId="0" fontId="0" fillId="0" borderId="0" xfId="0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0" fontId="0" fillId="8" borderId="3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3" fillId="13" borderId="1" xfId="0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9" xfId="0" applyFill="1" applyBorder="1" applyAlignment="1">
      <alignment horizontal="center" vertical="center"/>
    </xf>
    <xf numFmtId="0" fontId="0" fillId="15" borderId="10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44" fontId="4" fillId="5" borderId="1" xfId="0" applyNumberFormat="1" applyFont="1" applyFill="1" applyBorder="1" applyAlignment="1">
      <alignment vertical="center"/>
    </xf>
    <xf numFmtId="0" fontId="0" fillId="4" borderId="1" xfId="0" applyFill="1" applyBorder="1" applyAlignment="1">
      <alignment vertical="center" wrapText="1"/>
    </xf>
    <xf numFmtId="0" fontId="0" fillId="16" borderId="1" xfId="0" applyFill="1" applyBorder="1" applyAlignment="1">
      <alignment horizontal="center"/>
    </xf>
    <xf numFmtId="0" fontId="0" fillId="1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/>
    </xf>
    <xf numFmtId="0" fontId="0" fillId="0" borderId="1" xfId="0" applyBorder="1"/>
    <xf numFmtId="44" fontId="0" fillId="0" borderId="1" xfId="1" applyFont="1" applyBorder="1"/>
    <xf numFmtId="10" fontId="0" fillId="0" borderId="0" xfId="2" applyNumberFormat="1" applyFont="1"/>
    <xf numFmtId="16" fontId="0" fillId="0" borderId="0" xfId="0" applyNumberFormat="1"/>
    <xf numFmtId="0" fontId="0" fillId="0" borderId="2" xfId="0" applyBorder="1" applyAlignment="1">
      <alignment horizontal="center" vertical="center" wrapText="1"/>
    </xf>
    <xf numFmtId="44" fontId="0" fillId="0" borderId="4" xfId="1" applyFont="1" applyBorder="1" applyAlignment="1">
      <alignment horizontal="center" vertical="center"/>
    </xf>
    <xf numFmtId="0" fontId="0" fillId="5" borderId="6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textRotation="90"/>
    </xf>
    <xf numFmtId="0" fontId="0" fillId="6" borderId="3" xfId="0" applyFill="1" applyBorder="1" applyAlignment="1">
      <alignment horizontal="center" vertical="center" textRotation="90"/>
    </xf>
    <xf numFmtId="16" fontId="0" fillId="0" borderId="0" xfId="0" applyNumberFormat="1" applyAlignment="1">
      <alignment horizontal="center"/>
    </xf>
    <xf numFmtId="16" fontId="0" fillId="0" borderId="1" xfId="0" applyNumberFormat="1" applyBorder="1" applyAlignment="1">
      <alignment horizontal="center"/>
    </xf>
    <xf numFmtId="164" fontId="0" fillId="0" borderId="1" xfId="1" applyNumberFormat="1" applyFont="1" applyBorder="1"/>
    <xf numFmtId="44" fontId="0" fillId="0" borderId="0" xfId="1" applyFont="1"/>
    <xf numFmtId="0" fontId="0" fillId="5" borderId="8" xfId="0" applyFill="1" applyBorder="1" applyAlignment="1">
      <alignment horizontal="center" vertical="center" wrapText="1"/>
    </xf>
    <xf numFmtId="44" fontId="0" fillId="0" borderId="1" xfId="1" applyFont="1" applyBorder="1" applyAlignment="1">
      <alignment horizontal="center"/>
    </xf>
    <xf numFmtId="44" fontId="0" fillId="0" borderId="0" xfId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2" applyNumberFormat="1" applyFont="1" applyAlignment="1">
      <alignment horizontal="center" vertical="center"/>
    </xf>
    <xf numFmtId="10" fontId="0" fillId="0" borderId="1" xfId="2" applyNumberFormat="1" applyFont="1" applyBorder="1" applyAlignment="1">
      <alignment horizontal="center" vertical="center"/>
    </xf>
    <xf numFmtId="10" fontId="0" fillId="0" borderId="0" xfId="0" applyNumberFormat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16" fontId="0" fillId="5" borderId="3" xfId="0" applyNumberFormat="1" applyFill="1" applyBorder="1" applyAlignment="1">
      <alignment horizontal="center"/>
    </xf>
    <xf numFmtId="44" fontId="0" fillId="5" borderId="3" xfId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4" xfId="0" applyBorder="1"/>
    <xf numFmtId="44" fontId="0" fillId="0" borderId="14" xfId="1" applyFont="1" applyBorder="1"/>
    <xf numFmtId="44" fontId="0" fillId="0" borderId="14" xfId="1" applyFont="1" applyBorder="1" applyAlignment="1">
      <alignment horizontal="center"/>
    </xf>
    <xf numFmtId="44" fontId="0" fillId="0" borderId="0" xfId="0" applyNumberFormat="1"/>
    <xf numFmtId="17" fontId="0" fillId="0" borderId="1" xfId="0" applyNumberFormat="1" applyBorder="1" applyAlignment="1">
      <alignment horizontal="center"/>
    </xf>
    <xf numFmtId="17" fontId="0" fillId="0" borderId="0" xfId="0" applyNumberFormat="1" applyAlignment="1">
      <alignment horizontal="left"/>
    </xf>
    <xf numFmtId="16" fontId="0" fillId="14" borderId="3" xfId="0" applyNumberFormat="1" applyFill="1" applyBorder="1" applyAlignment="1">
      <alignment horizontal="center"/>
    </xf>
    <xf numFmtId="17" fontId="0" fillId="0" borderId="1" xfId="1" applyNumberFormat="1" applyFont="1" applyBorder="1" applyAlignment="1">
      <alignment horizontal="center" vertical="center"/>
    </xf>
    <xf numFmtId="0" fontId="0" fillId="14" borderId="3" xfId="0" applyFill="1" applyBorder="1" applyAlignment="1">
      <alignment horizontal="center" vertical="center" wrapText="1"/>
    </xf>
    <xf numFmtId="10" fontId="0" fillId="14" borderId="3" xfId="2" applyNumberFormat="1" applyFont="1" applyFill="1" applyBorder="1" applyAlignment="1">
      <alignment horizontal="center" vertical="center" wrapText="1"/>
    </xf>
    <xf numFmtId="0" fontId="0" fillId="14" borderId="3" xfId="0" applyFill="1" applyBorder="1" applyAlignment="1">
      <alignment horizontal="center" vertical="center" textRotation="90"/>
    </xf>
    <xf numFmtId="10" fontId="0" fillId="0" borderId="1" xfId="2" applyNumberFormat="1" applyFont="1" applyBorder="1" applyAlignment="1">
      <alignment horizontal="center"/>
    </xf>
    <xf numFmtId="16" fontId="0" fillId="14" borderId="3" xfId="0" applyNumberForma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/>
    </xf>
    <xf numFmtId="0" fontId="0" fillId="5" borderId="1" xfId="0" applyFill="1" applyBorder="1"/>
    <xf numFmtId="165" fontId="0" fillId="0" borderId="1" xfId="1" applyNumberFormat="1" applyFont="1" applyBorder="1"/>
    <xf numFmtId="0" fontId="10" fillId="11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 wrapText="1"/>
    </xf>
    <xf numFmtId="0" fontId="0" fillId="17" borderId="1" xfId="0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 wrapText="1"/>
    </xf>
    <xf numFmtId="0" fontId="0" fillId="17" borderId="1" xfId="0" applyFill="1" applyBorder="1" applyAlignment="1">
      <alignment horizontal="center"/>
    </xf>
    <xf numFmtId="0" fontId="0" fillId="19" borderId="1" xfId="0" applyFill="1" applyBorder="1"/>
    <xf numFmtId="44" fontId="0" fillId="0" borderId="1" xfId="1" applyFon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 wrapText="1"/>
    </xf>
    <xf numFmtId="0" fontId="5" fillId="11" borderId="10" xfId="0" applyFont="1" applyFill="1" applyBorder="1" applyAlignment="1">
      <alignment horizontal="center" vertical="center" wrapText="1"/>
    </xf>
    <xf numFmtId="0" fontId="12" fillId="20" borderId="16" xfId="0" applyFont="1" applyFill="1" applyBorder="1" applyAlignment="1">
      <alignment horizontal="center" vertical="center"/>
    </xf>
    <xf numFmtId="0" fontId="12" fillId="20" borderId="15" xfId="0" applyFont="1" applyFill="1" applyBorder="1" applyAlignment="1">
      <alignment horizontal="center" vertical="center"/>
    </xf>
    <xf numFmtId="0" fontId="12" fillId="20" borderId="0" xfId="0" applyFont="1" applyFill="1" applyAlignment="1">
      <alignment horizontal="center" vertical="center"/>
    </xf>
    <xf numFmtId="0" fontId="13" fillId="21" borderId="1" xfId="0" applyFont="1" applyFill="1" applyBorder="1" applyAlignment="1">
      <alignment vertical="center"/>
    </xf>
    <xf numFmtId="0" fontId="13" fillId="21" borderId="1" xfId="0" applyFont="1" applyFill="1" applyBorder="1" applyAlignment="1">
      <alignment horizontal="center" vertical="center"/>
    </xf>
    <xf numFmtId="14" fontId="13" fillId="21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14" fontId="13" fillId="0" borderId="1" xfId="0" applyNumberFormat="1" applyFont="1" applyBorder="1" applyAlignment="1">
      <alignment horizontal="center" vertical="center"/>
    </xf>
    <xf numFmtId="0" fontId="0" fillId="18" borderId="1" xfId="0" applyFill="1" applyBorder="1" applyAlignment="1">
      <alignment horizontal="center" vertical="center"/>
    </xf>
    <xf numFmtId="0" fontId="0" fillId="18" borderId="1" xfId="0" quotePrefix="1" applyFill="1" applyBorder="1" applyAlignment="1">
      <alignment horizontal="center" vertical="center" wrapText="1"/>
    </xf>
    <xf numFmtId="0" fontId="0" fillId="18" borderId="1" xfId="0" applyFill="1" applyBorder="1" applyAlignment="1">
      <alignment horizontal="center" vertical="center" wrapText="1"/>
    </xf>
    <xf numFmtId="0" fontId="0" fillId="18" borderId="1" xfId="0" applyFill="1" applyBorder="1" applyAlignment="1">
      <alignment horizontal="center"/>
    </xf>
    <xf numFmtId="0" fontId="12" fillId="20" borderId="17" xfId="0" applyFont="1" applyFill="1" applyBorder="1" applyAlignment="1">
      <alignment horizontal="center" vertical="center"/>
    </xf>
    <xf numFmtId="0" fontId="13" fillId="0" borderId="14" xfId="0" applyFont="1" applyBorder="1" applyAlignment="1">
      <alignment vertical="center"/>
    </xf>
    <xf numFmtId="14" fontId="13" fillId="0" borderId="14" xfId="0" applyNumberFormat="1" applyFont="1" applyBorder="1" applyAlignment="1">
      <alignment horizontal="center" vertical="center"/>
    </xf>
    <xf numFmtId="44" fontId="12" fillId="20" borderId="15" xfId="1" applyFont="1" applyFill="1" applyBorder="1" applyAlignment="1">
      <alignment horizontal="center" vertical="center"/>
    </xf>
    <xf numFmtId="44" fontId="13" fillId="21" borderId="1" xfId="1" applyFont="1" applyFill="1" applyBorder="1" applyAlignment="1">
      <alignment horizontal="center" vertical="center"/>
    </xf>
    <xf numFmtId="44" fontId="13" fillId="0" borderId="1" xfId="1" applyFont="1" applyBorder="1" applyAlignment="1">
      <alignment vertical="center"/>
    </xf>
    <xf numFmtId="44" fontId="13" fillId="21" borderId="1" xfId="1" applyFont="1" applyFill="1" applyBorder="1" applyAlignment="1">
      <alignment vertical="center"/>
    </xf>
    <xf numFmtId="44" fontId="13" fillId="0" borderId="14" xfId="1" applyFont="1" applyBorder="1" applyAlignment="1">
      <alignment vertical="center"/>
    </xf>
    <xf numFmtId="44" fontId="0" fillId="0" borderId="1" xfId="1" applyFont="1" applyFill="1" applyBorder="1"/>
    <xf numFmtId="165" fontId="0" fillId="0" borderId="1" xfId="1" applyNumberFormat="1" applyFont="1" applyFill="1" applyBorder="1"/>
    <xf numFmtId="17" fontId="0" fillId="0" borderId="0" xfId="0" applyNumberFormat="1" applyAlignment="1">
      <alignment horizontal="center"/>
    </xf>
    <xf numFmtId="17" fontId="0" fillId="5" borderId="3" xfId="0" applyNumberFormat="1" applyFill="1" applyBorder="1" applyAlignment="1">
      <alignment horizontal="center"/>
    </xf>
    <xf numFmtId="17" fontId="0" fillId="0" borderId="14" xfId="0" applyNumberFormat="1" applyBorder="1" applyAlignment="1">
      <alignment horizontal="center"/>
    </xf>
    <xf numFmtId="17" fontId="0" fillId="0" borderId="0" xfId="0" applyNumberFormat="1"/>
    <xf numFmtId="17" fontId="0" fillId="0" borderId="0" xfId="1" applyNumberFormat="1" applyFont="1"/>
    <xf numFmtId="44" fontId="0" fillId="0" borderId="0" xfId="0" applyNumberFormat="1" applyAlignment="1">
      <alignment vertical="center"/>
    </xf>
    <xf numFmtId="0" fontId="0" fillId="18" borderId="1" xfId="0" applyFill="1" applyBorder="1" applyAlignment="1">
      <alignment vertical="center"/>
    </xf>
    <xf numFmtId="0" fontId="0" fillId="18" borderId="1" xfId="0" quotePrefix="1" applyFill="1" applyBorder="1" applyAlignment="1">
      <alignment vertical="center" wrapText="1"/>
    </xf>
    <xf numFmtId="0" fontId="0" fillId="18" borderId="1" xfId="0" applyFill="1" applyBorder="1" applyAlignment="1">
      <alignment vertical="center" wrapText="1"/>
    </xf>
    <xf numFmtId="0" fontId="0" fillId="18" borderId="1" xfId="0" applyFill="1" applyBorder="1"/>
    <xf numFmtId="166" fontId="0" fillId="18" borderId="1" xfId="3" applyNumberFormat="1" applyFont="1" applyFill="1" applyBorder="1" applyAlignment="1">
      <alignment vertical="center"/>
    </xf>
    <xf numFmtId="14" fontId="0" fillId="0" borderId="1" xfId="0" applyNumberFormat="1" applyBorder="1" applyAlignment="1">
      <alignment horizontal="center"/>
    </xf>
    <xf numFmtId="44" fontId="0" fillId="0" borderId="1" xfId="1" applyFont="1" applyFill="1" applyBorder="1" applyAlignment="1">
      <alignment horizontal="center"/>
    </xf>
    <xf numFmtId="0" fontId="0" fillId="0" borderId="1" xfId="0" applyBorder="1" applyAlignment="1">
      <alignment wrapText="1"/>
    </xf>
    <xf numFmtId="44" fontId="0" fillId="0" borderId="14" xfId="1" applyFont="1" applyFill="1" applyBorder="1" applyAlignment="1">
      <alignment horizontal="center"/>
    </xf>
    <xf numFmtId="168" fontId="0" fillId="0" borderId="1" xfId="1" applyNumberFormat="1" applyFont="1" applyBorder="1"/>
    <xf numFmtId="44" fontId="0" fillId="0" borderId="14" xfId="1" applyFont="1" applyFill="1" applyBorder="1"/>
    <xf numFmtId="167" fontId="0" fillId="0" borderId="1" xfId="1" applyNumberFormat="1" applyFont="1" applyFill="1" applyBorder="1"/>
    <xf numFmtId="168" fontId="0" fillId="0" borderId="1" xfId="1" applyNumberFormat="1" applyFont="1" applyFill="1" applyBorder="1"/>
    <xf numFmtId="44" fontId="0" fillId="18" borderId="1" xfId="0" applyNumberFormat="1" applyFill="1" applyBorder="1" applyAlignment="1">
      <alignment vertical="center"/>
    </xf>
    <xf numFmtId="169" fontId="0" fillId="0" borderId="1" xfId="1" applyNumberFormat="1" applyFont="1" applyFill="1" applyBorder="1"/>
    <xf numFmtId="169" fontId="0" fillId="0" borderId="1" xfId="1" applyNumberFormat="1" applyFont="1" applyBorder="1"/>
    <xf numFmtId="0" fontId="0" fillId="2" borderId="1" xfId="0" applyFill="1" applyBorder="1" applyAlignment="1">
      <alignment vertical="center"/>
    </xf>
    <xf numFmtId="0" fontId="0" fillId="2" borderId="1" xfId="0" quotePrefix="1" applyFill="1" applyBorder="1" applyAlignment="1">
      <alignment vertical="center" wrapText="1"/>
    </xf>
    <xf numFmtId="0" fontId="0" fillId="22" borderId="1" xfId="0" applyFill="1" applyBorder="1"/>
    <xf numFmtId="0" fontId="0" fillId="2" borderId="1" xfId="0" applyFill="1" applyBorder="1" applyAlignment="1">
      <alignment vertical="center" wrapText="1"/>
    </xf>
    <xf numFmtId="44" fontId="0" fillId="2" borderId="1" xfId="1" applyFont="1" applyFill="1" applyBorder="1" applyAlignment="1">
      <alignment horizontal="center" vertical="center"/>
    </xf>
    <xf numFmtId="44" fontId="0" fillId="2" borderId="1" xfId="0" applyNumberFormat="1" applyFill="1" applyBorder="1" applyAlignment="1">
      <alignment vertical="center"/>
    </xf>
    <xf numFmtId="0" fontId="0" fillId="2" borderId="1" xfId="0" applyFill="1" applyBorder="1"/>
    <xf numFmtId="0" fontId="0" fillId="2" borderId="0" xfId="0" applyFill="1" applyAlignment="1">
      <alignment horizontal="center"/>
    </xf>
    <xf numFmtId="0" fontId="0" fillId="0" borderId="1" xfId="0" quotePrefix="1" applyBorder="1" applyAlignment="1">
      <alignment vertical="center" wrapText="1"/>
    </xf>
    <xf numFmtId="44" fontId="0" fillId="0" borderId="1" xfId="1" applyFont="1" applyFill="1" applyBorder="1" applyAlignment="1">
      <alignment horizontal="center" vertical="center"/>
    </xf>
    <xf numFmtId="44" fontId="0" fillId="0" borderId="1" xfId="0" applyNumberFormat="1" applyBorder="1" applyAlignment="1">
      <alignment vertical="center"/>
    </xf>
    <xf numFmtId="0" fontId="0" fillId="3" borderId="1" xfId="0" applyFill="1" applyBorder="1" applyAlignment="1">
      <alignment vertical="center" wrapText="1"/>
    </xf>
    <xf numFmtId="17" fontId="5" fillId="11" borderId="1" xfId="0" applyNumberFormat="1" applyFont="1" applyFill="1" applyBorder="1" applyAlignment="1">
      <alignment horizontal="center" vertical="center" wrapText="1"/>
    </xf>
    <xf numFmtId="17" fontId="0" fillId="0" borderId="1" xfId="0" applyNumberFormat="1" applyBorder="1" applyAlignment="1">
      <alignment horizontal="center" vertical="center"/>
    </xf>
    <xf numFmtId="17" fontId="0" fillId="18" borderId="1" xfId="0" applyNumberFormat="1" applyFill="1" applyBorder="1" applyAlignment="1">
      <alignment horizontal="center" vertical="center"/>
    </xf>
    <xf numFmtId="17" fontId="0" fillId="18" borderId="1" xfId="3" applyNumberFormat="1" applyFont="1" applyFill="1" applyBorder="1" applyAlignment="1">
      <alignment vertical="center"/>
    </xf>
    <xf numFmtId="17" fontId="0" fillId="17" borderId="1" xfId="0" applyNumberFormat="1" applyFill="1" applyBorder="1" applyAlignment="1">
      <alignment horizontal="center" vertical="center"/>
    </xf>
    <xf numFmtId="1" fontId="0" fillId="0" borderId="0" xfId="3" applyNumberFormat="1" applyFont="1" applyAlignment="1">
      <alignment horizont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right" vertical="center"/>
    </xf>
    <xf numFmtId="0" fontId="0" fillId="0" borderId="1" xfId="0" applyBorder="1" applyAlignment="1">
      <alignment horizontal="left" vertical="center" wrapText="1"/>
    </xf>
    <xf numFmtId="17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left"/>
    </xf>
    <xf numFmtId="0" fontId="0" fillId="17" borderId="1" xfId="0" applyFill="1" applyBorder="1" applyAlignment="1">
      <alignment vertical="center" wrapText="1"/>
    </xf>
    <xf numFmtId="44" fontId="0" fillId="24" borderId="1" xfId="1" applyFont="1" applyFill="1" applyBorder="1" applyAlignment="1">
      <alignment horizontal="center" vertical="center"/>
    </xf>
    <xf numFmtId="10" fontId="0" fillId="5" borderId="1" xfId="2" applyNumberFormat="1" applyFont="1" applyFill="1" applyBorder="1" applyAlignment="1">
      <alignment horizontal="center" vertical="center"/>
    </xf>
    <xf numFmtId="14" fontId="0" fillId="5" borderId="3" xfId="3" applyNumberFormat="1" applyFont="1" applyFill="1" applyBorder="1" applyAlignment="1">
      <alignment horizontal="center"/>
    </xf>
    <xf numFmtId="170" fontId="0" fillId="0" borderId="0" xfId="0" applyNumberFormat="1"/>
    <xf numFmtId="171" fontId="0" fillId="0" borderId="0" xfId="0" applyNumberFormat="1"/>
    <xf numFmtId="171" fontId="0" fillId="0" borderId="0" xfId="1" applyNumberFormat="1" applyFont="1"/>
    <xf numFmtId="0" fontId="0" fillId="25" borderId="0" xfId="0" applyFill="1"/>
    <xf numFmtId="44" fontId="0" fillId="25" borderId="0" xfId="0" applyNumberFormat="1" applyFill="1"/>
    <xf numFmtId="17" fontId="0" fillId="25" borderId="0" xfId="0" applyNumberFormat="1" applyFill="1"/>
    <xf numFmtId="10" fontId="0" fillId="25" borderId="0" xfId="2" applyNumberFormat="1" applyFont="1" applyFill="1"/>
    <xf numFmtId="10" fontId="10" fillId="25" borderId="0" xfId="2" applyNumberFormat="1" applyFont="1" applyFill="1"/>
    <xf numFmtId="10" fontId="0" fillId="25" borderId="0" xfId="0" applyNumberFormat="1" applyFill="1"/>
    <xf numFmtId="10" fontId="14" fillId="25" borderId="0" xfId="2" applyNumberFormat="1" applyFont="1" applyFill="1"/>
    <xf numFmtId="0" fontId="15" fillId="14" borderId="0" xfId="0" applyFont="1" applyFill="1"/>
    <xf numFmtId="0" fontId="0" fillId="14" borderId="0" xfId="0" applyFill="1"/>
    <xf numFmtId="44" fontId="0" fillId="14" borderId="0" xfId="0" applyNumberFormat="1" applyFill="1"/>
    <xf numFmtId="17" fontId="0" fillId="14" borderId="0" xfId="0" applyNumberFormat="1" applyFill="1"/>
    <xf numFmtId="0" fontId="10" fillId="14" borderId="0" xfId="0" applyFont="1" applyFill="1"/>
    <xf numFmtId="0" fontId="3" fillId="14" borderId="0" xfId="0" applyFont="1" applyFill="1" applyAlignment="1">
      <alignment horizontal="center" vertical="center"/>
    </xf>
    <xf numFmtId="14" fontId="3" fillId="14" borderId="0" xfId="0" applyNumberFormat="1" applyFont="1" applyFill="1" applyAlignment="1">
      <alignment horizontal="center" vertical="center"/>
    </xf>
    <xf numFmtId="0" fontId="3" fillId="14" borderId="0" xfId="0" applyFont="1" applyFill="1" applyAlignment="1">
      <alignment horizontal="left" vertical="center"/>
    </xf>
    <xf numFmtId="171" fontId="0" fillId="0" borderId="0" xfId="0" pivotButton="1" applyNumberFormat="1"/>
    <xf numFmtId="171" fontId="0" fillId="0" borderId="0" xfId="0" applyNumberFormat="1" applyAlignment="1">
      <alignment horizontal="left"/>
    </xf>
    <xf numFmtId="17" fontId="0" fillId="17" borderId="1" xfId="0" applyNumberFormat="1" applyFill="1" applyBorder="1" applyAlignment="1">
      <alignment horizontal="center"/>
    </xf>
    <xf numFmtId="17" fontId="0" fillId="23" borderId="1" xfId="0" applyNumberFormat="1" applyFill="1" applyBorder="1" applyAlignment="1">
      <alignment horizontal="center"/>
    </xf>
    <xf numFmtId="169" fontId="0" fillId="0" borderId="0" xfId="0" pivotButton="1" applyNumberFormat="1"/>
    <xf numFmtId="169" fontId="0" fillId="0" borderId="0" xfId="0" applyNumberFormat="1"/>
    <xf numFmtId="169" fontId="0" fillId="0" borderId="0" xfId="1" applyNumberFormat="1" applyFont="1"/>
    <xf numFmtId="169" fontId="0" fillId="0" borderId="0" xfId="0" applyNumberFormat="1" applyAlignment="1">
      <alignment horizontal="left"/>
    </xf>
    <xf numFmtId="9" fontId="0" fillId="0" borderId="0" xfId="2" applyFont="1"/>
    <xf numFmtId="0" fontId="0" fillId="0" borderId="14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44" fontId="0" fillId="0" borderId="14" xfId="1" applyFont="1" applyBorder="1" applyAlignment="1">
      <alignment vertical="center"/>
    </xf>
    <xf numFmtId="10" fontId="0" fillId="0" borderId="14" xfId="2" applyNumberFormat="1" applyFont="1" applyBorder="1" applyAlignment="1">
      <alignment horizontal="center" vertical="center"/>
    </xf>
    <xf numFmtId="17" fontId="0" fillId="0" borderId="14" xfId="1" applyNumberFormat="1" applyFont="1" applyBorder="1" applyAlignment="1">
      <alignment horizontal="center" vertical="center"/>
    </xf>
    <xf numFmtId="172" fontId="0" fillId="0" borderId="0" xfId="1" applyNumberFormat="1" applyFont="1"/>
    <xf numFmtId="165" fontId="0" fillId="0" borderId="0" xfId="1" applyNumberFormat="1" applyFont="1"/>
    <xf numFmtId="9" fontId="0" fillId="0" borderId="0" xfId="0" applyNumberFormat="1"/>
    <xf numFmtId="17" fontId="0" fillId="0" borderId="14" xfId="3" applyNumberFormat="1" applyFont="1" applyBorder="1" applyAlignment="1">
      <alignment horizontal="center"/>
    </xf>
    <xf numFmtId="0" fontId="0" fillId="0" borderId="13" xfId="0" applyBorder="1" applyAlignment="1">
      <alignment horizontal="center"/>
    </xf>
    <xf numFmtId="44" fontId="0" fillId="0" borderId="14" xfId="0" applyNumberFormat="1" applyBorder="1" applyAlignment="1">
      <alignment horizontal="center"/>
    </xf>
    <xf numFmtId="44" fontId="0" fillId="0" borderId="14" xfId="0" applyNumberFormat="1" applyBorder="1" applyAlignment="1">
      <alignment horizontal="left"/>
    </xf>
    <xf numFmtId="0" fontId="0" fillId="2" borderId="14" xfId="0" applyFill="1" applyBorder="1" applyAlignment="1">
      <alignment horizontal="center"/>
    </xf>
    <xf numFmtId="0" fontId="0" fillId="0" borderId="14" xfId="0" applyBorder="1" applyAlignment="1">
      <alignment vertical="center" wrapText="1"/>
    </xf>
    <xf numFmtId="14" fontId="0" fillId="0" borderId="14" xfId="0" applyNumberFormat="1" applyBorder="1" applyAlignment="1">
      <alignment horizontal="center"/>
    </xf>
    <xf numFmtId="0" fontId="0" fillId="0" borderId="14" xfId="0" applyBorder="1" applyAlignment="1">
      <alignment horizontal="center" vertical="center" wrapText="1"/>
    </xf>
    <xf numFmtId="44" fontId="0" fillId="0" borderId="13" xfId="1" applyFont="1" applyBorder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  <xf numFmtId="17" fontId="0" fillId="0" borderId="1" xfId="3" applyNumberFormat="1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44" fontId="0" fillId="0" borderId="1" xfId="0" applyNumberFormat="1" applyBorder="1" applyAlignment="1">
      <alignment horizontal="center"/>
    </xf>
    <xf numFmtId="0" fontId="5" fillId="11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0" fillId="19" borderId="1" xfId="0" applyFill="1" applyBorder="1" applyAlignment="1">
      <alignment horizontal="left" vertical="center" wrapText="1"/>
    </xf>
    <xf numFmtId="44" fontId="0" fillId="17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44" fontId="0" fillId="5" borderId="1" xfId="1" applyFont="1" applyFill="1" applyBorder="1" applyAlignment="1">
      <alignment horizontal="center"/>
    </xf>
    <xf numFmtId="0" fontId="16" fillId="14" borderId="0" xfId="0" applyFont="1" applyFill="1" applyAlignment="1">
      <alignment horizontal="center" vertical="center"/>
    </xf>
    <xf numFmtId="0" fontId="6" fillId="5" borderId="1" xfId="0" applyFont="1" applyFill="1" applyBorder="1" applyAlignment="1">
      <alignment horizontal="center" vertical="center" textRotation="90"/>
    </xf>
    <xf numFmtId="0" fontId="7" fillId="14" borderId="1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textRotation="90"/>
    </xf>
    <xf numFmtId="0" fontId="0" fillId="6" borderId="1" xfId="0" applyFill="1" applyBorder="1" applyAlignment="1">
      <alignment horizontal="center" vertical="center" textRotation="90"/>
    </xf>
    <xf numFmtId="0" fontId="0" fillId="11" borderId="1" xfId="0" applyFill="1" applyBorder="1" applyAlignment="1">
      <alignment horizontal="center" vertical="center"/>
    </xf>
  </cellXfs>
  <cellStyles count="4">
    <cellStyle name="Millares" xfId="3" builtinId="3"/>
    <cellStyle name="Moneda" xfId="1" builtinId="4"/>
    <cellStyle name="Normal" xfId="0" builtinId="0"/>
    <cellStyle name="Porcentaje" xfId="2" builtinId="5"/>
  </cellStyles>
  <dxfs count="215"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theme="8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theme="1" tint="0.34998626667073579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ont>
        <b/>
        <i val="0"/>
        <strike val="0"/>
      </font>
      <fill>
        <patternFill>
          <bgColor theme="6"/>
        </patternFill>
      </fill>
    </dxf>
    <dxf>
      <font>
        <b/>
        <i val="0"/>
        <strike val="0"/>
      </font>
      <fill>
        <patternFill>
          <bgColor theme="6"/>
        </patternFill>
      </fill>
    </dxf>
    <dxf>
      <font>
        <b/>
        <i val="0"/>
        <strike val="0"/>
      </font>
      <fill>
        <patternFill>
          <bgColor theme="6"/>
        </patternFill>
      </fill>
    </dxf>
    <dxf>
      <font>
        <b/>
        <i val="0"/>
        <strike val="0"/>
      </font>
      <fill>
        <patternFill>
          <bgColor theme="6"/>
        </patternFill>
      </fill>
    </dxf>
    <dxf>
      <font>
        <b/>
        <i val="0"/>
        <strike val="0"/>
      </font>
      <fill>
        <patternFill>
          <bgColor theme="6"/>
        </patternFill>
      </fill>
    </dxf>
    <dxf>
      <font>
        <b/>
        <i val="0"/>
        <strike val="0"/>
      </font>
      <fill>
        <patternFill>
          <bgColor theme="6"/>
        </patternFill>
      </fill>
    </dxf>
    <dxf>
      <font>
        <b/>
        <i val="0"/>
        <strike val="0"/>
      </font>
      <fill>
        <patternFill>
          <bgColor theme="6"/>
        </patternFill>
      </fill>
    </dxf>
    <dxf>
      <font>
        <b/>
        <i val="0"/>
        <strike val="0"/>
      </font>
      <fill>
        <patternFill>
          <bgColor theme="6"/>
        </patternFill>
      </fill>
    </dxf>
    <dxf>
      <font>
        <b/>
        <i val="0"/>
        <strike val="0"/>
      </font>
      <fill>
        <patternFill>
          <bgColor theme="6"/>
        </patternFill>
      </fill>
    </dxf>
    <dxf>
      <font>
        <b/>
        <i val="0"/>
        <strike val="0"/>
      </font>
      <fill>
        <patternFill>
          <bgColor theme="6"/>
        </patternFill>
      </fill>
    </dxf>
    <dxf>
      <font>
        <b/>
        <i val="0"/>
        <strike val="0"/>
      </font>
      <fill>
        <patternFill>
          <bgColor theme="6"/>
        </patternFill>
      </fill>
    </dxf>
    <dxf>
      <font>
        <b/>
        <i val="0"/>
        <strike val="0"/>
      </font>
      <fill>
        <patternFill>
          <bgColor theme="6"/>
        </patternFill>
      </fill>
    </dxf>
    <dxf>
      <font>
        <b/>
        <i val="0"/>
      </font>
      <fill>
        <patternFill>
          <bgColor theme="9"/>
        </patternFill>
      </fill>
    </dxf>
    <dxf>
      <font>
        <b/>
        <i val="0"/>
      </font>
      <fill>
        <patternFill>
          <bgColor theme="6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9" formatCode="d/mm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right style="medium">
          <color indexed="64"/>
        </right>
        <top style="medium">
          <color indexed="64"/>
        </top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fill>
        <patternFill patternType="solid">
          <fgColor indexed="64"/>
          <bgColor rgb="FF4472C4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numFmt numFmtId="34" formatCode="_-&quot;S/&quot;\ * #,##0.00_-;\-&quot;S/&quot;\ * #,##0.00_-;_-&quot;S/&quot;\ * &quot;-&quot;??_-;_-@_-"/>
    </dxf>
    <dxf>
      <numFmt numFmtId="34" formatCode="_-&quot;S/&quot;\ * #,##0.00_-;\-&quot;S/&quot;\ * #,##0.00_-;_-&quot;S/&quot;\ * &quot;-&quot;??_-;_-@_-"/>
    </dxf>
    <dxf>
      <numFmt numFmtId="14" formatCode="0.00%"/>
    </dxf>
    <dxf>
      <numFmt numFmtId="14" formatCode="0.00%"/>
    </dxf>
    <dxf>
      <numFmt numFmtId="34" formatCode="_-&quot;S/&quot;\ * #,##0.00_-;\-&quot;S/&quot;\ * #,##0.00_-;_-&quot;S/&quot;\ * &quot;-&quot;??_-;_-@_-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22" formatCode="mmm\-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4" formatCode="_-&quot;S/&quot;\ * #,##0.00_-;\-&quot;S/&quot;\ * #,##0.00_-;_-&quot;S/&quot;\ * &quot;-&quot;??_-;_-@_-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4" formatCode="_-&quot;S/&quot;\ * #,##0.00_-;\-&quot;S/&quot;\ * #,##0.00_-;_-&quot;S/&quot;\ * &quot;-&quot;??_-;_-@_-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</border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1" formatCode="_-[$S/-280A]\ * #,##0_-;\-[$S/-280A]\ * #,##0_-;_-[$S/-280A]\ * &quot;-&quot;??_-;_-@_-"/>
    </dxf>
    <dxf>
      <numFmt numFmtId="171" formatCode="_-[$S/-280A]\ * #,##0_-;\-[$S/-280A]\ * #,##0_-;_-[$S/-280A]\ * &quot;-&quot;??_-;_-@_-"/>
    </dxf>
    <dxf>
      <numFmt numFmtId="171" formatCode="_-[$S/-280A]\ * #,##0_-;\-[$S/-280A]\ * #,##0_-;_-[$S/-280A]\ * &quot;-&quot;??_-;_-@_-"/>
    </dxf>
    <dxf>
      <numFmt numFmtId="171" formatCode="_-[$S/-280A]\ * #,##0_-;\-[$S/-280A]\ * #,##0_-;_-[$S/-280A]\ * &quot;-&quot;??_-;_-@_-"/>
    </dxf>
    <dxf>
      <numFmt numFmtId="171" formatCode="_-[$S/-280A]\ * #,##0_-;\-[$S/-280A]\ * #,##0_-;_-[$S/-280A]\ * &quot;-&quot;??_-;_-@_-"/>
    </dxf>
    <dxf>
      <numFmt numFmtId="0" formatCode="General"/>
    </dxf>
    <dxf>
      <numFmt numFmtId="169" formatCode="_-[$S/-280A]\ * #,##0.00_-;\-[$S/-280A]\ * #,##0.00_-;_-[$S/-280A]\ * &quot;-&quot;??_-;_-@_-"/>
    </dxf>
    <dxf>
      <numFmt numFmtId="169" formatCode="_-[$S/-280A]\ * #,##0.00_-;\-[$S/-280A]\ * #,##0.00_-;_-[$S/-280A]\ * &quot;-&quot;??_-;_-@_-"/>
    </dxf>
    <dxf>
      <numFmt numFmtId="169" formatCode="_-[$S/-280A]\ * #,##0.00_-;\-[$S/-280A]\ * #,##0.00_-;_-[$S/-280A]\ * &quot;-&quot;??_-;_-@_-"/>
    </dxf>
    <dxf>
      <numFmt numFmtId="169" formatCode="_-[$S/-280A]\ * #,##0.00_-;\-[$S/-280A]\ * #,##0.00_-;_-[$S/-280A]\ * &quot;-&quot;??_-;_-@_-"/>
    </dxf>
    <dxf>
      <numFmt numFmtId="169" formatCode="_-[$S/-280A]\ * #,##0.00_-;\-[$S/-280A]\ * #,##0.00_-;_-[$S/-280A]\ * &quot;-&quot;??_-;_-@_-"/>
    </dxf>
    <dxf>
      <numFmt numFmtId="169" formatCode="_-[$S/-280A]\ * #,##0.00_-;\-[$S/-280A]\ * #,##0.00_-;_-[$S/-280A]\ * &quot;-&quot;??_-;_-@_-"/>
    </dxf>
    <dxf>
      <numFmt numFmtId="169" formatCode="_-[$S/-280A]\ * #,##0.00_-;\-[$S/-280A]\ * #,##0.00_-;_-[$S/-280A]\ * &quot;-&quot;??_-;_-@_-"/>
    </dxf>
    <dxf>
      <numFmt numFmtId="169" formatCode="_-[$S/-280A]\ * #,##0.00_-;\-[$S/-280A]\ * #,##0.00_-;_-[$S/-280A]\ * &quot;-&quot;??_-;_-@_-"/>
    </dxf>
    <dxf>
      <numFmt numFmtId="13" formatCode="0%"/>
    </dxf>
    <dxf>
      <numFmt numFmtId="22" formatCode="mmm\-yy"/>
    </dxf>
    <dxf>
      <numFmt numFmtId="171" formatCode="_-[$S/-280A]\ * #,##0_-;\-[$S/-280A]\ * #,##0_-;_-[$S/-280A]\ * &quot;-&quot;??_-;_-@_-"/>
    </dxf>
    <dxf>
      <numFmt numFmtId="171" formatCode="_-[$S/-280A]\ * #,##0_-;\-[$S/-280A]\ * #,##0_-;_-[$S/-280A]\ * &quot;-&quot;??_-;_-@_-"/>
    </dxf>
    <dxf>
      <numFmt numFmtId="171" formatCode="_-[$S/-280A]\ * #,##0_-;\-[$S/-280A]\ * #,##0_-;_-[$S/-280A]\ * &quot;-&quot;??_-;_-@_-"/>
    </dxf>
    <dxf>
      <numFmt numFmtId="171" formatCode="_-[$S/-280A]\ * #,##0_-;\-[$S/-280A]\ * #,##0_-;_-[$S/-280A]\ * &quot;-&quot;??_-;_-@_-"/>
    </dxf>
    <dxf>
      <numFmt numFmtId="171" formatCode="_-[$S/-280A]\ * #,##0_-;\-[$S/-280A]\ * #,##0_-;_-[$S/-280A]\ * &quot;-&quot;??_-;_-@_-"/>
    </dxf>
    <dxf>
      <numFmt numFmtId="171" formatCode="_-[$S/-280A]\ * #,##0_-;\-[$S/-280A]\ * #,##0_-;_-[$S/-280A]\ * &quot;-&quot;??_-;_-@_-"/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22" formatCode="mmm\-yy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22" formatCode="mmm\-yy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2" formatCode="mmm\-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22" formatCode="mmm\-yy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22" formatCode="mmm\-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21" formatCode="d\-mmm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22" formatCode="mmm\-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alignment horizontal="center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&quot;S/&quot;\ * #,##0.00_-;\-&quot;S/&quot;\ * #,##0.00_-;_-&quot;S/&quot;\ * &quot;-&quot;??_-;_-@_-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2" formatCode="mmm\-yy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2" formatCode="mmm\-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2" formatCode="mmm\-yy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2" formatCode="mmm\-yy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&quot;S/&quot;\ * #,##0.00_-;\-&quot;S/&quot;\ * #,##0.00_-;_-&quot;S/&quot;\ * &quot;-&quot;??_-;_-@_-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&quot;S/&quot;\ * #,##0.00_-;\-&quot;S/&quot;\ * #,##0.00_-;_-&quot;S/&quot;\ * &quot;-&quot;??_-;_-@_-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&quot;S/&quot;\ * #,##0.00_-;\-&quot;S/&quot;\ * #,##0.00_-;_-&quot;S/&quot;\ * &quot;-&quot;??_-;_-@_-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&quot;S/&quot;\ * #,##0.00_-;\-&quot;S/&quot;\ * #,##0.00_-;_-&quot;S/&quot;\ * &quot;-&quot;??_-;_-@_-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&quot;S/&quot;\ * #,##0.00_-;\-&quot;S/&quot;\ * #,##0.00_-;_-&quot;S/&quot;\ * &quot;-&quot;??_-;_-@_-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&quot;S/&quot;\ * #,##0.00_-;\-&quot;S/&quot;\ * #,##0.00_-;_-&quot;S/&quot;\ * &quot;-&quot;??_-;_-@_-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&quot;S/&quot;\ * #,##0.00_-;\-&quot;S/&quot;\ * #,##0.00_-;_-&quot;S/&quot;\ * &quot;-&quot;??_-;_-@_-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7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7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7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7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7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solid">
          <fgColor indexed="64"/>
          <bgColor theme="7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fill>
        <patternFill>
          <bgColor rgb="FFE2E9F6"/>
        </patternFill>
      </fill>
      <border diagonalUp="0" diagonalDown="0">
        <left/>
        <right/>
        <top/>
        <bottom/>
        <vertical/>
        <horizontal/>
      </border>
    </dxf>
    <dxf>
      <font>
        <color theme="4" tint="-0.499984740745262"/>
      </font>
      <border>
        <bottom style="thin">
          <color theme="4"/>
        </bottom>
        <vertical/>
        <horizontal/>
      </border>
    </dxf>
    <dxf>
      <font>
        <sz val="12"/>
        <color theme="3" tint="-0.499984740745262"/>
      </font>
      <fill>
        <patternFill>
          <bgColor theme="4" tint="-0.499984740745262"/>
        </patternFill>
      </fill>
      <border diagonalUp="0" diagonalDown="0">
        <left/>
        <right/>
        <top/>
        <bottom/>
        <vertical/>
        <horizontal/>
      </border>
    </dxf>
  </dxfs>
  <tableStyles count="2" defaultTableStyle="TableStyleMedium2" defaultPivotStyle="PivotStyleLight16">
    <tableStyle name="Mi estilo" pivot="0" table="0" count="10" xr9:uid="{35996E8F-403C-42A6-B3E2-C32719266631}">
      <tableStyleElement type="wholeTable" dxfId="214"/>
      <tableStyleElement type="headerRow" dxfId="213"/>
    </tableStyle>
    <tableStyle name="Modelo 1" pivot="0" table="0" count="10" xr9:uid="{127632B0-281D-4339-8777-37E7ED32B9DA}">
      <tableStyleElement type="wholeTable" dxfId="212"/>
      <tableStyleElement type="headerRow" dxfId="211"/>
    </tableStyle>
  </tableStyles>
  <colors>
    <mruColors>
      <color rgb="FFE2E9F6"/>
      <color rgb="FF3399FF"/>
    </mruColors>
  </colors>
  <extLst>
    <ext xmlns:x14="http://schemas.microsoft.com/office/spreadsheetml/2009/9/main" uri="{46F421CA-312F-682f-3DD2-61675219B42D}">
      <x14:dxfs count="16">
        <dxf>
          <font>
            <color rgb="FF000000"/>
          </font>
          <fill>
            <patternFill patternType="solid">
              <fgColor auto="1"/>
              <bgColor theme="4" tint="0.39994506668294322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auto="1"/>
              <bgColor theme="4" tint="0.39994506668294322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auto="1"/>
              <bgColor theme="4" tint="0.39994506668294322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auto="1"/>
              <bgColor theme="4" tint="0.39994506668294322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theme="4" tint="0.3999450666829432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theme="4" tint="-0.499984740745262"/>
          </font>
          <fill>
            <patternFill patternType="solid">
              <fgColor auto="1"/>
              <bgColor theme="2" tint="-9.9948118533890809E-2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499984740745262"/>
          </font>
          <fill>
            <patternFill patternType="solid">
              <fgColor auto="1"/>
              <bgColor theme="2" tint="-9.9948118533890809E-2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499984740745262"/>
          </font>
          <fill>
            <patternFill patternType="solid">
              <fgColor auto="1"/>
              <bgColor theme="2" tint="-9.9948118533890809E-2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499984740745262"/>
          </font>
          <fill>
            <patternFill patternType="solid">
              <fgColor auto="1"/>
              <bgColor theme="2" tint="-9.9948118533890809E-2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3" tint="-0.499984740745262"/>
          </font>
          <fill>
            <patternFill>
              <bgColor theme="4" tint="0.79998168889431442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theme="4" tint="-0.499984740745262"/>
          </font>
          <fill>
            <patternFill patternType="solid">
              <fgColor theme="4" tint="0.59999389629810485"/>
              <bgColor theme="4" tint="0.59996337778862885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theme="0" tint="-4.9989318521683403E-2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theme="0" tint="-4.9989318521683403E-2"/>
            </patternFill>
          </fill>
          <border diagonalUp="0" diagonalDown="0">
            <left/>
            <right/>
            <top/>
            <bottom/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odelo 1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pivotCacheDefinition" Target="pivotCache/pivotCacheDefinition9.xml"/><Relationship Id="rId39" Type="http://schemas.openxmlformats.org/officeDocument/2006/relationships/sharedStrings" Target="sharedStrings.xml"/><Relationship Id="rId21" Type="http://schemas.openxmlformats.org/officeDocument/2006/relationships/pivotCacheDefinition" Target="pivotCache/pivotCacheDefinition4.xml"/><Relationship Id="rId34" Type="http://schemas.microsoft.com/office/2007/relationships/slicerCache" Target="slicerCaches/slicerCache2.xml"/><Relationship Id="rId42" Type="http://schemas.openxmlformats.org/officeDocument/2006/relationships/calcChain" Target="calcChain.xml"/><Relationship Id="rId47" Type="http://schemas.openxmlformats.org/officeDocument/2006/relationships/customXml" Target="../customXml/item5.xml"/><Relationship Id="rId50" Type="http://schemas.openxmlformats.org/officeDocument/2006/relationships/customXml" Target="../customXml/item8.xml"/><Relationship Id="rId55" Type="http://schemas.openxmlformats.org/officeDocument/2006/relationships/customXml" Target="../customXml/item1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pivotCacheDefinition" Target="pivotCache/pivotCacheDefinition12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7.xml"/><Relationship Id="rId32" Type="http://schemas.openxmlformats.org/officeDocument/2006/relationships/pivotCacheDefinition" Target="pivotCache/pivotCacheDefinition15.xml"/><Relationship Id="rId37" Type="http://schemas.openxmlformats.org/officeDocument/2006/relationships/connections" Target="connections.xml"/><Relationship Id="rId40" Type="http://schemas.openxmlformats.org/officeDocument/2006/relationships/sheetMetadata" Target="metadata.xml"/><Relationship Id="rId45" Type="http://schemas.openxmlformats.org/officeDocument/2006/relationships/customXml" Target="../customXml/item3.xml"/><Relationship Id="rId53" Type="http://schemas.openxmlformats.org/officeDocument/2006/relationships/customXml" Target="../customXml/item11.xml"/><Relationship Id="rId58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5.xml"/><Relationship Id="rId27" Type="http://schemas.openxmlformats.org/officeDocument/2006/relationships/pivotCacheDefinition" Target="pivotCache/pivotCacheDefinition10.xml"/><Relationship Id="rId30" Type="http://schemas.openxmlformats.org/officeDocument/2006/relationships/pivotCacheDefinition" Target="pivotCache/pivotCacheDefinition13.xml"/><Relationship Id="rId35" Type="http://schemas.microsoft.com/office/2007/relationships/slicerCache" Target="slicerCaches/slicerCache3.xml"/><Relationship Id="rId43" Type="http://schemas.openxmlformats.org/officeDocument/2006/relationships/customXml" Target="../customXml/item1.xml"/><Relationship Id="rId48" Type="http://schemas.openxmlformats.org/officeDocument/2006/relationships/customXml" Target="../customXml/item6.xml"/><Relationship Id="rId56" Type="http://schemas.openxmlformats.org/officeDocument/2006/relationships/customXml" Target="../customXml/item14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pivotCacheDefinition" Target="pivotCache/pivotCacheDefinition8.xml"/><Relationship Id="rId33" Type="http://schemas.microsoft.com/office/2007/relationships/slicerCache" Target="slicerCaches/slicerCache1.xml"/><Relationship Id="rId38" Type="http://schemas.openxmlformats.org/officeDocument/2006/relationships/styles" Target="styles.xml"/><Relationship Id="rId46" Type="http://schemas.openxmlformats.org/officeDocument/2006/relationships/customXml" Target="../customXml/item4.xml"/><Relationship Id="rId59" Type="http://schemas.openxmlformats.org/officeDocument/2006/relationships/customXml" Target="../customXml/item17.xml"/><Relationship Id="rId20" Type="http://schemas.openxmlformats.org/officeDocument/2006/relationships/pivotCacheDefinition" Target="pivotCache/pivotCacheDefinition3.xml"/><Relationship Id="rId41" Type="http://schemas.openxmlformats.org/officeDocument/2006/relationships/powerPivotData" Target="model/item.data"/><Relationship Id="rId54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6.xml"/><Relationship Id="rId28" Type="http://schemas.openxmlformats.org/officeDocument/2006/relationships/pivotCacheDefinition" Target="pivotCache/pivotCacheDefinition11.xml"/><Relationship Id="rId36" Type="http://schemas.openxmlformats.org/officeDocument/2006/relationships/theme" Target="theme/theme1.xml"/><Relationship Id="rId49" Type="http://schemas.openxmlformats.org/officeDocument/2006/relationships/customXml" Target="../customXml/item7.xml"/><Relationship Id="rId57" Type="http://schemas.openxmlformats.org/officeDocument/2006/relationships/customXml" Target="../customXml/item15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4.xml"/><Relationship Id="rId44" Type="http://schemas.openxmlformats.org/officeDocument/2006/relationships/customXml" Target="../customXml/item2.xml"/><Relationship Id="rId52" Type="http://schemas.openxmlformats.org/officeDocument/2006/relationships/customXml" Target="../customXml/item10.xml"/><Relationship Id="rId60" Type="http://schemas.openxmlformats.org/officeDocument/2006/relationships/customXml" Target="../customXml/item1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6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Tablas!$I$26</c:f>
              <c:strCache>
                <c:ptCount val="1"/>
                <c:pt idx="0">
                  <c:v>2023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1622583247468292E-2"/>
                  <c:y val="-0.199067796078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4F-4DB6-9B3E-7E4BB91F6689}"/>
                </c:ext>
              </c:extLst>
            </c:dLbl>
            <c:dLbl>
              <c:idx val="5"/>
              <c:layout>
                <c:manualLayout>
                  <c:x val="-5.3078856534737415E-2"/>
                  <c:y val="-0.14524944659111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4F-4DB6-9B3E-7E4BB91F6689}"/>
                </c:ext>
              </c:extLst>
            </c:dLbl>
            <c:dLbl>
              <c:idx val="9"/>
              <c:layout>
                <c:manualLayout>
                  <c:x val="-5.3600051102583382E-2"/>
                  <c:y val="-0.16772621939034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4F-4DB6-9B3E-7E4BB91F6689}"/>
                </c:ext>
              </c:extLst>
            </c:dLbl>
            <c:dLbl>
              <c:idx val="12"/>
              <c:layout>
                <c:manualLayout>
                  <c:x val="-4.9099666667547386E-2"/>
                  <c:y val="-0.17382701412694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4F-4DB6-9B3E-7E4BB91F6689}"/>
                </c:ext>
              </c:extLst>
            </c:dLbl>
            <c:dLbl>
              <c:idx val="14"/>
              <c:layout>
                <c:manualLayout>
                  <c:x val="-4.9357670536462818E-2"/>
                  <c:y val="-0.442302021398431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4F-4DB6-9B3E-7E4BB91F6689}"/>
                </c:ext>
              </c:extLst>
            </c:dLbl>
            <c:dLbl>
              <c:idx val="15"/>
              <c:layout>
                <c:manualLayout>
                  <c:x val="-1.1538620313124167E-3"/>
                  <c:y val="-0.181701509411410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4F-4DB6-9B3E-7E4BB91F6689}"/>
                </c:ext>
              </c:extLst>
            </c:dLbl>
            <c:dLbl>
              <c:idx val="16"/>
              <c:layout>
                <c:manualLayout>
                  <c:x val="-2.5413432798937291E-2"/>
                  <c:y val="-8.2315093077951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4F-4DB6-9B3E-7E4BB91F6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Tablas!$H$27:$H$44</c:f>
              <c:numCache>
                <c:formatCode>mmm\-yy</c:formatCode>
                <c:ptCount val="18"/>
                <c:pt idx="0">
                  <c:v>44945</c:v>
                </c:pt>
                <c:pt idx="1">
                  <c:v>44970</c:v>
                </c:pt>
                <c:pt idx="2">
                  <c:v>45005</c:v>
                </c:pt>
                <c:pt idx="3">
                  <c:v>45035</c:v>
                </c:pt>
                <c:pt idx="4">
                  <c:v>45061</c:v>
                </c:pt>
                <c:pt idx="5">
                  <c:v>45096</c:v>
                </c:pt>
                <c:pt idx="6">
                  <c:v>45128</c:v>
                </c:pt>
                <c:pt idx="7">
                  <c:v>45155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</c:numCache>
            </c:numRef>
          </c:cat>
          <c:val>
            <c:numRef>
              <c:f>Tablas!$I$27:$I$44</c:f>
              <c:numCache>
                <c:formatCode>_-[$S/-280A]\ * #,##0_-;\-[$S/-280A]\ * #,##0_-;_-[$S/-280A]\ * "-"??_-;_-@_-</c:formatCode>
                <c:ptCount val="18"/>
                <c:pt idx="0">
                  <c:v>1780</c:v>
                </c:pt>
                <c:pt idx="1">
                  <c:v>1200</c:v>
                </c:pt>
                <c:pt idx="2">
                  <c:v>0</c:v>
                </c:pt>
                <c:pt idx="3">
                  <c:v>11700</c:v>
                </c:pt>
                <c:pt idx="4">
                  <c:v>5730</c:v>
                </c:pt>
                <c:pt idx="5">
                  <c:v>10990</c:v>
                </c:pt>
                <c:pt idx="6">
                  <c:v>9745</c:v>
                </c:pt>
                <c:pt idx="7">
                  <c:v>5460</c:v>
                </c:pt>
                <c:pt idx="8">
                  <c:v>20195</c:v>
                </c:pt>
                <c:pt idx="9">
                  <c:v>21045</c:v>
                </c:pt>
                <c:pt idx="10">
                  <c:v>19785</c:v>
                </c:pt>
                <c:pt idx="11">
                  <c:v>49884</c:v>
                </c:pt>
                <c:pt idx="12">
                  <c:v>4423</c:v>
                </c:pt>
                <c:pt idx="13">
                  <c:v>4287.5</c:v>
                </c:pt>
                <c:pt idx="14">
                  <c:v>2572.5</c:v>
                </c:pt>
                <c:pt idx="15" formatCode="_-&quot;S/&quot;\ * #,##0.0_-;\-&quot;S/&quot;\ * #,##0.0_-;_-&quot;S/&quot;\ * &quot;-&quot;??_-;_-@_-">
                  <c:v>8070</c:v>
                </c:pt>
                <c:pt idx="16">
                  <c:v>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4F-4DB6-9B3E-7E4BB91F6689}"/>
            </c:ext>
          </c:extLst>
        </c:ser>
        <c:ser>
          <c:idx val="1"/>
          <c:order val="1"/>
          <c:tx>
            <c:strRef>
              <c:f>Tablas!$J$26</c:f>
              <c:strCache>
                <c:ptCount val="1"/>
                <c:pt idx="0">
                  <c:v>2024</c:v>
                </c:pt>
              </c:strCache>
            </c:strRef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Tablas!$H$27:$H$44</c:f>
              <c:numCache>
                <c:formatCode>mmm\-yy</c:formatCode>
                <c:ptCount val="18"/>
                <c:pt idx="0">
                  <c:v>44945</c:v>
                </c:pt>
                <c:pt idx="1">
                  <c:v>44970</c:v>
                </c:pt>
                <c:pt idx="2">
                  <c:v>45005</c:v>
                </c:pt>
                <c:pt idx="3">
                  <c:v>45035</c:v>
                </c:pt>
                <c:pt idx="4">
                  <c:v>45061</c:v>
                </c:pt>
                <c:pt idx="5">
                  <c:v>45096</c:v>
                </c:pt>
                <c:pt idx="6">
                  <c:v>45128</c:v>
                </c:pt>
                <c:pt idx="7">
                  <c:v>45155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</c:numCache>
            </c:numRef>
          </c:cat>
          <c:val>
            <c:numRef>
              <c:f>Tablas!$J$27:$J$44</c:f>
              <c:numCache>
                <c:formatCode>_-[$S/-280A]\ * #,##0_-;\-[$S/-280A]\ * #,##0_-;_-[$S/-280A]\ * "-"??_-;_-@_-</c:formatCode>
                <c:ptCount val="18"/>
                <c:pt idx="12">
                  <c:v>0</c:v>
                </c:pt>
                <c:pt idx="13">
                  <c:v>0</c:v>
                </c:pt>
                <c:pt idx="14">
                  <c:v>650</c:v>
                </c:pt>
                <c:pt idx="15" formatCode="_-&quot;S/&quot;\ * #,##0_-;\-&quot;S/&quot;\ * #,##0_-;_-&quot;S/&quot;\ * &quot;-&quot;??_-;_-@_-">
                  <c:v>3380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4F-4DB6-9B3E-7E4BB91F668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937540480"/>
        <c:axId val="937534720"/>
      </c:lineChart>
      <c:dateAx>
        <c:axId val="9375404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937534720"/>
        <c:crosses val="autoZero"/>
        <c:auto val="1"/>
        <c:lblOffset val="100"/>
        <c:baseTimeUnit val="days"/>
      </c:dateAx>
      <c:valAx>
        <c:axId val="937534720"/>
        <c:scaling>
          <c:orientation val="minMax"/>
        </c:scaling>
        <c:delete val="1"/>
        <c:axPos val="l"/>
        <c:numFmt formatCode="_-[$S/-280A]\ * #,##0_-;\-[$S/-280A]\ * #,##0_-;_-[$S/-280A]\ * &quot;-&quot;??_-;_-@_-" sourceLinked="1"/>
        <c:majorTickMark val="none"/>
        <c:minorTickMark val="none"/>
        <c:tickLblPos val="nextTo"/>
        <c:crossAx val="93754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[Consolidado proyectos.xlsx]TD!TablaDinámica2</c:name>
    <c:fmtId val="13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layout>
            <c:manualLayout>
              <c:x val="-7.5000000000000025E-2"/>
              <c:y val="-7.870370370370370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layout>
            <c:manualLayout>
              <c:x val="-1.1111111111111212E-2"/>
              <c:y val="-4.629629629629633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layout>
            <c:manualLayout>
              <c:x val="-9.166666666666666E-2"/>
              <c:y val="-3.703703703703712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layout>
            <c:manualLayout>
              <c:x val="-8.333333333333344E-2"/>
              <c:y val="3.703703703703695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layout>
            <c:manualLayout>
              <c:x val="-7.5000000000000108E-2"/>
              <c:y val="4.629629629629629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layout>
            <c:manualLayout>
              <c:x val="-5.0000000000000051E-2"/>
              <c:y val="-4.1666666666666664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layout>
            <c:manualLayout>
              <c:x val="-9.4444444444444553E-2"/>
              <c:y val="-3.2407407407407406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layout>
            <c:manualLayout>
              <c:x val="-6.6666666666666666E-2"/>
              <c:y val="-4.1666666666666664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layout>
            <c:manualLayout>
              <c:x val="-6.3888888888888884E-2"/>
              <c:y val="2.7777777777777776E-2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7.5781230753677155E-3"/>
              <c:y val="-5.98071608479358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8404013183035882E-2"/>
              <c:y val="-5.98071608479358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72048"/>
        <c:axId val="389961008"/>
      </c:lineChart>
      <c:catAx>
        <c:axId val="38997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89961008"/>
        <c:crosses val="autoZero"/>
        <c:auto val="1"/>
        <c:lblAlgn val="ctr"/>
        <c:lblOffset val="100"/>
        <c:noMultiLvlLbl val="0"/>
      </c:catAx>
      <c:valAx>
        <c:axId val="38996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89972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[Consolidado proyectos.xlsx]TD!TablaDinámica3</c:name>
    <c:fmtId val="3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TD!$J$5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TD!$I$6:$I$16</c:f>
              <c:strCache>
                <c:ptCount val="10"/>
                <c:pt idx="0">
                  <c:v>Ene-00</c:v>
                </c:pt>
                <c:pt idx="1">
                  <c:v>Ene-23</c:v>
                </c:pt>
                <c:pt idx="2">
                  <c:v>Feb-23</c:v>
                </c:pt>
                <c:pt idx="3">
                  <c:v>Mar-23</c:v>
                </c:pt>
                <c:pt idx="4">
                  <c:v>Abr-23</c:v>
                </c:pt>
                <c:pt idx="5">
                  <c:v>May-23</c:v>
                </c:pt>
                <c:pt idx="6">
                  <c:v>Oct-23</c:v>
                </c:pt>
                <c:pt idx="7">
                  <c:v>Dic-23</c:v>
                </c:pt>
                <c:pt idx="8">
                  <c:v>Ago-23</c:v>
                </c:pt>
                <c:pt idx="9">
                  <c:v>Nov-23</c:v>
                </c:pt>
              </c:strCache>
            </c:strRef>
          </c:cat>
          <c:val>
            <c:numRef>
              <c:f>TD!$J$6:$J$16</c:f>
              <c:numCache>
                <c:formatCode>_("S/"* #,##0.00_);_("S/"* \(#,##0.00\);_("S/"* "-"??_);_(@_)</c:formatCode>
                <c:ptCount val="10"/>
                <c:pt idx="0">
                  <c:v>0</c:v>
                </c:pt>
                <c:pt idx="1">
                  <c:v>1780</c:v>
                </c:pt>
                <c:pt idx="2">
                  <c:v>1200</c:v>
                </c:pt>
                <c:pt idx="3">
                  <c:v>72430</c:v>
                </c:pt>
                <c:pt idx="4">
                  <c:v>2075</c:v>
                </c:pt>
                <c:pt idx="5">
                  <c:v>17280</c:v>
                </c:pt>
                <c:pt idx="6">
                  <c:v>40200</c:v>
                </c:pt>
                <c:pt idx="7">
                  <c:v>47500</c:v>
                </c:pt>
                <c:pt idx="8">
                  <c:v>32840</c:v>
                </c:pt>
                <c:pt idx="9">
                  <c:v>51940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6C-40A2-8CE1-1A214EE92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7485136"/>
        <c:axId val="457467376"/>
      </c:lineChart>
      <c:catAx>
        <c:axId val="45748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57467376"/>
        <c:crosses val="autoZero"/>
        <c:auto val="1"/>
        <c:lblAlgn val="ctr"/>
        <c:lblOffset val="100"/>
        <c:noMultiLvlLbl val="0"/>
      </c:catAx>
      <c:valAx>
        <c:axId val="45746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5748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Proyectos</a:t>
            </a:r>
            <a:r>
              <a:rPr lang="en-US" baseline="0"/>
              <a:t> aprobados (S/)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Resumen!$B$8</c:f>
              <c:strCache>
                <c:ptCount val="1"/>
                <c:pt idx="0">
                  <c:v>Proy aprob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7270643211478105E-2"/>
                  <c:y val="-4.23797921805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51-47F3-9118-38888DF4FDF4}"/>
                </c:ext>
              </c:extLst>
            </c:dLbl>
            <c:dLbl>
              <c:idx val="1"/>
              <c:layout>
                <c:manualLayout>
                  <c:x val="-1.4908257284591236E-3"/>
                  <c:y val="-2.648737011281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51-47F3-9118-38888DF4FDF4}"/>
                </c:ext>
              </c:extLst>
            </c:dLbl>
            <c:dLbl>
              <c:idx val="2"/>
              <c:layout>
                <c:manualLayout>
                  <c:x val="-2.9816514569182473E-3"/>
                  <c:y val="-3.1784844135383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51-47F3-9118-38888DF4FDF4}"/>
                </c:ext>
              </c:extLst>
            </c:dLbl>
            <c:dLbl>
              <c:idx val="3"/>
              <c:layout>
                <c:manualLayout>
                  <c:x val="-6.1123854866824069E-2"/>
                  <c:y val="-3.1784844135383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51-47F3-9118-38888DF4FDF4}"/>
                </c:ext>
              </c:extLst>
            </c:dLbl>
            <c:dLbl>
              <c:idx val="4"/>
              <c:layout>
                <c:manualLayout>
                  <c:x val="-1.4908257284591783E-3"/>
                  <c:y val="1.5892422067691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51-47F3-9118-38888DF4FDF4}"/>
                </c:ext>
              </c:extLst>
            </c:dLbl>
            <c:dLbl>
              <c:idx val="7"/>
              <c:layout>
                <c:manualLayout>
                  <c:x val="-8.9449543707548502E-3"/>
                  <c:y val="-2.1189896090255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51-47F3-9118-38888DF4FDF4}"/>
                </c:ext>
              </c:extLst>
            </c:dLbl>
            <c:dLbl>
              <c:idx val="8"/>
              <c:layout>
                <c:manualLayout>
                  <c:x val="-2.2362385926886854E-2"/>
                  <c:y val="-5.2974740225639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51-47F3-9118-38888DF4FDF4}"/>
                </c:ext>
              </c:extLst>
            </c:dLbl>
            <c:dLbl>
              <c:idx val="9"/>
              <c:layout>
                <c:manualLayout>
                  <c:x val="-1.0435780099213974E-2"/>
                  <c:y val="-2.1189896090255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51-47F3-9118-38888DF4F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Resumen!$C$8:$N$8</c:f>
              <c:numCache>
                <c:formatCode>_-"S/"\ * #,##0_-;\-"S/"\ * #,##0_-;_-"S/"\ * "-"??_-;_-@_-</c:formatCode>
                <c:ptCount val="12"/>
                <c:pt idx="0">
                  <c:v>1780</c:v>
                </c:pt>
                <c:pt idx="1">
                  <c:v>1200</c:v>
                </c:pt>
                <c:pt idx="2">
                  <c:v>51580</c:v>
                </c:pt>
                <c:pt idx="3">
                  <c:v>925</c:v>
                </c:pt>
                <c:pt idx="4">
                  <c:v>8000</c:v>
                </c:pt>
                <c:pt idx="7">
                  <c:v>23680</c:v>
                </c:pt>
                <c:pt idx="8">
                  <c:v>10850</c:v>
                </c:pt>
                <c:pt idx="9">
                  <c:v>11200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1-47F3-9118-38888DF4F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071823"/>
        <c:axId val="27499935"/>
      </c:lineChart>
      <c:catAx>
        <c:axId val="665071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7499935"/>
        <c:crosses val="autoZero"/>
        <c:auto val="1"/>
        <c:lblAlgn val="ctr"/>
        <c:lblOffset val="100"/>
        <c:noMultiLvlLbl val="0"/>
      </c:catAx>
      <c:valAx>
        <c:axId val="27499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S/&quot;\ * #,##0_-;\-&quot;S/&quot;\ * #,##0_-;_-&quot;S/&quot;\ 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65071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542985044488491"/>
          <c:y val="9.161463748769974E-2"/>
          <c:w val="0.52575652448518073"/>
          <c:h val="0.90838536251230029"/>
        </c:manualLayout>
      </c:layout>
      <c:doughnutChart>
        <c:varyColors val="1"/>
        <c:ser>
          <c:idx val="0"/>
          <c:order val="0"/>
          <c:spPr>
            <a:effectLst>
              <a:outerShdw blurRad="152400" dist="127000" dir="18000000" sx="1000" sy="1000" algn="ctr" rotWithShape="0">
                <a:srgbClr val="000000">
                  <a:alpha val="15000"/>
                </a:srgbClr>
              </a:outerShdw>
            </a:effectLst>
          </c:spPr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accent1">
                    <a:alpha val="99000"/>
                  </a:schemeClr>
                </a:solidFill>
              </a:ln>
              <a:effectLst>
                <a:outerShdw blurRad="152400" dist="127000" dir="18000000" sx="1000" sy="1000" algn="ctr" rotWithShape="0">
                  <a:srgbClr val="000000">
                    <a:alpha val="1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8EB-479F-9C19-F65BBBDE9D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>
                <a:outerShdw blurRad="152400" dist="127000" dir="18000000" sx="1000" sy="1000" algn="ctr" rotWithShape="0">
                  <a:srgbClr val="000000">
                    <a:alpha val="1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AA8-4142-9D09-D7D213E47F91}"/>
              </c:ext>
            </c:extLst>
          </c:dPt>
          <c:val>
            <c:numRef>
              <c:f>DASHBOARD!$AF$15:$AG$15</c:f>
              <c:numCache>
                <c:formatCode>0.00%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0-68EB-479F-9C19-F65BBBDE9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>
                <a:outerShdw blurRad="152400" dist="127000" dir="18000000" sx="1000" sy="1000" algn="ctr" rotWithShape="0">
                  <a:srgbClr val="000000">
                    <a:alpha val="1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92F-4A71-973D-FC58CA0FF4C0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92F-4A71-973D-FC58CA0FF4C0}"/>
              </c:ext>
            </c:extLst>
          </c:dPt>
          <c:val>
            <c:numRef>
              <c:f>DASHBOARD!$AD$98:$AE$98</c:f>
              <c:numCache>
                <c:formatCode>0.00%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0-A718-4699-9077-9E235F0C5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6.9019624892913356E-2"/>
          <c:w val="0.99011124614494328"/>
          <c:h val="0.75622648983370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Tablas!$H$3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7.53135966245276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58-4D55-A79C-F8B94C5B1F2A}"/>
                </c:ext>
              </c:extLst>
            </c:dLbl>
            <c:dLbl>
              <c:idx val="1"/>
              <c:layout>
                <c:manualLayout>
                  <c:x val="0"/>
                  <c:y val="-0.10041812883270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58-4D55-A79C-F8B94C5B1F2A}"/>
                </c:ext>
              </c:extLst>
            </c:dLbl>
            <c:dLbl>
              <c:idx val="3"/>
              <c:layout>
                <c:manualLayout>
                  <c:x val="0"/>
                  <c:y val="-0.137950388522136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58-4D55-A79C-F8B94C5B1F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Tablas!$G$4:$G$15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Tablas!$H$4:$H$15</c:f>
              <c:numCache>
                <c:formatCode>_-[$S/-280A]\ * #,##0_-;\-[$S/-280A]\ * #,##0_-;_-[$S/-280A]\ * "-"??_-;_-@_-</c:formatCode>
                <c:ptCount val="12"/>
                <c:pt idx="0">
                  <c:v>1780</c:v>
                </c:pt>
                <c:pt idx="1">
                  <c:v>1200</c:v>
                </c:pt>
                <c:pt idx="2">
                  <c:v>72430</c:v>
                </c:pt>
                <c:pt idx="3">
                  <c:v>2075</c:v>
                </c:pt>
                <c:pt idx="4">
                  <c:v>17280</c:v>
                </c:pt>
                <c:pt idx="5">
                  <c:v>0</c:v>
                </c:pt>
                <c:pt idx="6">
                  <c:v>0</c:v>
                </c:pt>
                <c:pt idx="7">
                  <c:v>32840</c:v>
                </c:pt>
                <c:pt idx="8">
                  <c:v>0</c:v>
                </c:pt>
                <c:pt idx="9">
                  <c:v>40200</c:v>
                </c:pt>
                <c:pt idx="10">
                  <c:v>51940</c:v>
                </c:pt>
                <c:pt idx="11">
                  <c:v>47500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8-4D55-A79C-F8B94C5B1F2A}"/>
            </c:ext>
          </c:extLst>
        </c:ser>
        <c:ser>
          <c:idx val="1"/>
          <c:order val="1"/>
          <c:tx>
            <c:strRef>
              <c:f>Tablas!$I$3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Tablas!$G$4:$G$15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Tablas!$I$4:$I$15</c:f>
              <c:numCache>
                <c:formatCode>_-[$S/-280A]\ * #,##0_-;\-[$S/-280A]\ * #,##0_-;_-[$S/-280A]\ * "-"??_-;_-@_-</c:formatCode>
                <c:ptCount val="12"/>
                <c:pt idx="0">
                  <c:v>650</c:v>
                </c:pt>
                <c:pt idx="1">
                  <c:v>0</c:v>
                </c:pt>
                <c:pt idx="2">
                  <c:v>6760</c:v>
                </c:pt>
                <c:pt idx="3">
                  <c:v>0</c:v>
                </c:pt>
                <c:pt idx="4">
                  <c:v>0</c:v>
                </c:pt>
                <c:pt idx="5">
                  <c:v>20250</c:v>
                </c:pt>
                <c:pt idx="6">
                  <c:v>4340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8-4D55-A79C-F8B94C5B1F2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65631824"/>
        <c:axId val="465612624"/>
      </c:barChart>
      <c:catAx>
        <c:axId val="46563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65612624"/>
        <c:crosses val="autoZero"/>
        <c:auto val="1"/>
        <c:lblAlgn val="ctr"/>
        <c:lblOffset val="100"/>
        <c:noMultiLvlLbl val="0"/>
      </c:catAx>
      <c:valAx>
        <c:axId val="465612624"/>
        <c:scaling>
          <c:orientation val="minMax"/>
        </c:scaling>
        <c:delete val="1"/>
        <c:axPos val="l"/>
        <c:numFmt formatCode="_-[$S/-280A]\ * #,##0_-;\-[$S/-280A]\ * #,##0_-;_-[$S/-280A]\ * &quot;-&quot;??_-;_-@_-" sourceLinked="1"/>
        <c:majorTickMark val="none"/>
        <c:minorTickMark val="none"/>
        <c:tickLblPos val="nextTo"/>
        <c:crossAx val="465631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[Consolidado proyectos.xlsx]Tablas!TablaDinámica16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7034179814060721"/>
          <c:y val="0.15236957326229442"/>
          <c:w val="0.72965820185939279"/>
          <c:h val="0.787520415567366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Tablas!$Q$17</c:f>
              <c:strCache>
                <c:ptCount val="1"/>
                <c:pt idx="0">
                  <c:v>Suma de Aprobado S/.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Tablas!$P$18:$P$23</c:f>
              <c:strCache>
                <c:ptCount val="5"/>
                <c:pt idx="0">
                  <c:v>Adm&amp;Fin</c:v>
                </c:pt>
                <c:pt idx="1">
                  <c:v>Comercial</c:v>
                </c:pt>
                <c:pt idx="2">
                  <c:v>GDH</c:v>
                </c:pt>
                <c:pt idx="3">
                  <c:v>Operaciones</c:v>
                </c:pt>
                <c:pt idx="4">
                  <c:v>SAC&amp;Parque</c:v>
                </c:pt>
              </c:strCache>
            </c:strRef>
          </c:cat>
          <c:val>
            <c:numRef>
              <c:f>Tablas!$Q$18:$Q$23</c:f>
              <c:numCache>
                <c:formatCode>_-[$S/-280A]\ * #,##0_-;\-[$S/-280A]\ * #,##0_-;_-[$S/-280A]\ * "-"??_-;_-@_-</c:formatCode>
                <c:ptCount val="5"/>
                <c:pt idx="0">
                  <c:v>36055</c:v>
                </c:pt>
                <c:pt idx="1">
                  <c:v>59280</c:v>
                </c:pt>
                <c:pt idx="2">
                  <c:v>97880</c:v>
                </c:pt>
                <c:pt idx="3">
                  <c:v>60580</c:v>
                </c:pt>
                <c:pt idx="4">
                  <c:v>45450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F-4766-BAAA-A1955BF55F8B}"/>
            </c:ext>
          </c:extLst>
        </c:ser>
        <c:ser>
          <c:idx val="1"/>
          <c:order val="1"/>
          <c:tx>
            <c:strRef>
              <c:f>Tablas!$R$17</c:f>
              <c:strCache>
                <c:ptCount val="1"/>
                <c:pt idx="0">
                  <c:v>Suma de Ejecutado S/.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Tablas!$P$18:$P$23</c:f>
              <c:strCache>
                <c:ptCount val="5"/>
                <c:pt idx="0">
                  <c:v>Adm&amp;Fin</c:v>
                </c:pt>
                <c:pt idx="1">
                  <c:v>Comercial</c:v>
                </c:pt>
                <c:pt idx="2">
                  <c:v>GDH</c:v>
                </c:pt>
                <c:pt idx="3">
                  <c:v>Operaciones</c:v>
                </c:pt>
                <c:pt idx="4">
                  <c:v>SAC&amp;Parque</c:v>
                </c:pt>
              </c:strCache>
            </c:strRef>
          </c:cat>
          <c:val>
            <c:numRef>
              <c:f>Tablas!$R$18:$R$23</c:f>
              <c:numCache>
                <c:formatCode>_-[$S/-280A]\ * #,##0_-;\-[$S/-280A]\ * #,##0_-;_-[$S/-280A]\ * "-"??_-;_-@_-</c:formatCode>
                <c:ptCount val="5"/>
                <c:pt idx="0">
                  <c:v>21270</c:v>
                </c:pt>
                <c:pt idx="1">
                  <c:v>29990</c:v>
                </c:pt>
                <c:pt idx="2">
                  <c:v>84305</c:v>
                </c:pt>
                <c:pt idx="3">
                  <c:v>34775</c:v>
                </c:pt>
                <c:pt idx="4">
                  <c:v>32840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2F-4766-BAAA-A1955BF55F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16310319"/>
        <c:axId val="116303599"/>
      </c:barChart>
      <c:catAx>
        <c:axId val="1163103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303599"/>
        <c:crosses val="autoZero"/>
        <c:auto val="1"/>
        <c:lblAlgn val="ctr"/>
        <c:lblOffset val="100"/>
        <c:noMultiLvlLbl val="0"/>
      </c:catAx>
      <c:valAx>
        <c:axId val="116303599"/>
        <c:scaling>
          <c:orientation val="minMax"/>
        </c:scaling>
        <c:delete val="1"/>
        <c:axPos val="b"/>
        <c:numFmt formatCode="_-[$S/-280A]\ * #,##0_-;\-[$S/-280A]\ * #,##0_-;_-[$S/-280A]\ * &quot;-&quot;??_-;_-@_-" sourceLinked="1"/>
        <c:majorTickMark val="none"/>
        <c:minorTickMark val="none"/>
        <c:tickLblPos val="nextTo"/>
        <c:crossAx val="116310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[Consolidado proyectos.xlsx]Tablas!TablaDinámica15</c:name>
    <c:fmtId val="3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8090741917200145"/>
          <c:y val="6.9389083016065778E-2"/>
          <c:w val="0.81909258082799852"/>
          <c:h val="0.861221833967868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Tablas!$O$4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Tablas!$N$5:$N$11</c:f>
              <c:strCache>
                <c:ptCount val="6"/>
                <c:pt idx="0">
                  <c:v>Avanza</c:v>
                </c:pt>
                <c:pt idx="1">
                  <c:v>BCTS</c:v>
                </c:pt>
                <c:pt idx="2">
                  <c:v>BigDavi</c:v>
                </c:pt>
                <c:pt idx="3">
                  <c:v>Exe</c:v>
                </c:pt>
                <c:pt idx="4">
                  <c:v>IQ</c:v>
                </c:pt>
                <c:pt idx="5">
                  <c:v>Kunaq</c:v>
                </c:pt>
              </c:strCache>
            </c:strRef>
          </c:cat>
          <c:val>
            <c:numRef>
              <c:f>Tablas!$O$5:$O$11</c:f>
              <c:numCache>
                <c:formatCode>_-[$S/-280A]\ * #,##0_-;\-[$S/-280A]\ * #,##0_-;_-[$S/-280A]\ * "-"??_-;_-@_-</c:formatCode>
                <c:ptCount val="6"/>
                <c:pt idx="0">
                  <c:v>21290</c:v>
                </c:pt>
                <c:pt idx="1">
                  <c:v>250</c:v>
                </c:pt>
                <c:pt idx="2">
                  <c:v>5565</c:v>
                </c:pt>
                <c:pt idx="3">
                  <c:v>200</c:v>
                </c:pt>
                <c:pt idx="4">
                  <c:v>700</c:v>
                </c:pt>
                <c:pt idx="5">
                  <c:v>242000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7F-4D62-AB8E-6E32C42A20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16291119"/>
        <c:axId val="116301679"/>
      </c:barChart>
      <c:catAx>
        <c:axId val="1162911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301679"/>
        <c:crosses val="autoZero"/>
        <c:auto val="1"/>
        <c:lblAlgn val="ctr"/>
        <c:lblOffset val="100"/>
        <c:noMultiLvlLbl val="0"/>
      </c:catAx>
      <c:valAx>
        <c:axId val="116301679"/>
        <c:scaling>
          <c:orientation val="minMax"/>
        </c:scaling>
        <c:delete val="1"/>
        <c:axPos val="b"/>
        <c:numFmt formatCode="_-[$S/-280A]\ * #,##0_-;\-[$S/-280A]\ * #,##0_-;_-[$S/-280A]\ * &quot;-&quot;??_-;_-@_-" sourceLinked="1"/>
        <c:majorTickMark val="none"/>
        <c:minorTickMark val="none"/>
        <c:tickLblPos val="nextTo"/>
        <c:crossAx val="116291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[Consolidado proyectos.xlsx]Tablas!TablaDinámica17</c:name>
    <c:fmtId val="2"/>
  </c:pivotSource>
  <c:chart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22225" cap="rnd" cmpd="sng" algn="ctr">
            <a:solidFill>
              <a:schemeClr val="accent1"/>
            </a:solidFill>
            <a:round/>
          </a:ln>
          <a:effectLst/>
        </c:spPr>
        <c:marker>
          <c:symbol val="circle"/>
          <c:size val="4"/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22225" cap="rnd" cmpd="sng" algn="ctr">
            <a:solidFill>
              <a:schemeClr val="accent1"/>
            </a:solidFill>
            <a:round/>
          </a:ln>
          <a:effectLst/>
        </c:spPr>
        <c:marker>
          <c:symbol val="circle"/>
          <c:size val="4"/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22225" cap="rnd" cmpd="sng" algn="ctr">
            <a:solidFill>
              <a:schemeClr val="accent1"/>
            </a:solidFill>
            <a:round/>
          </a:ln>
          <a:effectLst/>
        </c:spPr>
        <c:marker>
          <c:symbol val="circle"/>
          <c:size val="4"/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22225" cap="rnd" cmpd="sng" algn="ctr">
            <a:solidFill>
              <a:schemeClr val="accent1"/>
            </a:solidFill>
            <a:round/>
          </a:ln>
          <a:effectLst/>
        </c:spPr>
        <c:marker>
          <c:symbol val="circle"/>
          <c:size val="4"/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ymbol val="circle"/>
          <c:size val="4"/>
          <c:spPr>
            <a:solidFill>
              <a:schemeClr val="accent1"/>
            </a:solidFill>
            <a:ln w="9525" cap="flat" cmpd="sng" algn="ctr">
              <a:solidFill>
                <a:schemeClr val="accen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2225" cap="rnd" cmpd="sng" algn="ctr">
            <a:solidFill>
              <a:schemeClr val="accent1"/>
            </a:solidFill>
            <a:round/>
          </a:ln>
          <a:effectLst/>
        </c:spPr>
        <c:marker>
          <c:symbol val="circle"/>
          <c:size val="4"/>
          <c:spPr>
            <a:solidFill>
              <a:schemeClr val="accent2"/>
            </a:solidFill>
            <a:ln w="9525" cap="flat" cmpd="sng" algn="ctr">
              <a:solidFill>
                <a:schemeClr val="accent2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1478420569329659E-2"/>
          <c:y val="0.14739939514481104"/>
          <c:w val="0.95638200183654731"/>
          <c:h val="0.69701931722202548"/>
        </c:manualLayout>
      </c:layout>
      <c:lineChart>
        <c:grouping val="standard"/>
        <c:varyColors val="0"/>
        <c:ser>
          <c:idx val="0"/>
          <c:order val="0"/>
          <c:tx>
            <c:strRef>
              <c:f>Tablas!$J$65:$J$66</c:f>
              <c:strCache>
                <c:ptCount val="1"/>
                <c:pt idx="0">
                  <c:v>2023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 cap="flat" cmpd="sng" algn="ctr">
                <a:solidFill>
                  <a:schemeClr val="accent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Tablas!$I$67:$I$71</c:f>
              <c:strCache>
                <c:ptCount val="4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</c:strCache>
            </c:strRef>
          </c:cat>
          <c:val>
            <c:numRef>
              <c:f>Tablas!$J$67:$J$71</c:f>
              <c:numCache>
                <c:formatCode>_-[$S/-280A]\ * #,##0_-;\-[$S/-280A]\ * #,##0_-;_-[$S/-280A]\ * "-"??_-;_-@_-</c:formatCode>
                <c:ptCount val="4"/>
                <c:pt idx="1">
                  <c:v>45612.5</c:v>
                </c:pt>
                <c:pt idx="2">
                  <c:v>22482.5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7B-45AF-B665-79DB1091E072}"/>
            </c:ext>
          </c:extLst>
        </c:ser>
        <c:ser>
          <c:idx val="1"/>
          <c:order val="1"/>
          <c:tx>
            <c:strRef>
              <c:f>Tablas!$K$65:$K$66</c:f>
              <c:strCache>
                <c:ptCount val="1"/>
                <c:pt idx="0">
                  <c:v>2024</c:v>
                </c:pt>
              </c:strCache>
            </c:strRef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2"/>
              </a:solidFill>
              <a:ln w="9525" cap="flat" cmpd="sng" algn="ctr">
                <a:solidFill>
                  <a:schemeClr val="accent2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Tablas!$I$67:$I$71</c:f>
              <c:strCache>
                <c:ptCount val="4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</c:strCache>
            </c:strRef>
          </c:cat>
          <c:val>
            <c:numRef>
              <c:f>Tablas!$K$67:$K$71</c:f>
              <c:numCache>
                <c:formatCode>_-[$S/-280A]\ * #,##0_-;\-[$S/-280A]\ * #,##0_-;_-[$S/-280A]\ * "-"??_-;_-@_-</c:formatCode>
                <c:ptCount val="4"/>
                <c:pt idx="0">
                  <c:v>2942</c:v>
                </c:pt>
                <c:pt idx="1">
                  <c:v>15340</c:v>
                </c:pt>
                <c:pt idx="2">
                  <c:v>7014</c:v>
                </c:pt>
                <c:pt idx="3">
                  <c:v>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7B-45AF-B665-79DB1091E07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marker val="1"/>
        <c:smooth val="0"/>
        <c:axId val="296258303"/>
        <c:axId val="296248703"/>
      </c:lineChart>
      <c:catAx>
        <c:axId val="2962583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6248703"/>
        <c:crosses val="autoZero"/>
        <c:auto val="1"/>
        <c:lblAlgn val="ctr"/>
        <c:lblOffset val="100"/>
        <c:noMultiLvlLbl val="0"/>
      </c:catAx>
      <c:valAx>
        <c:axId val="296248703"/>
        <c:scaling>
          <c:orientation val="minMax"/>
        </c:scaling>
        <c:delete val="1"/>
        <c:axPos val="l"/>
        <c:numFmt formatCode="_-[$S/-280A]\ * #,##0_-;\-[$S/-280A]\ * #,##0_-;_-[$S/-280A]\ * &quot;-&quot;??_-;_-@_-" sourceLinked="1"/>
        <c:majorTickMark val="none"/>
        <c:minorTickMark val="none"/>
        <c:tickLblPos val="nextTo"/>
        <c:crossAx val="2962583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0BE-43B6-AF73-E85AF9EC168E}"/>
              </c:ext>
            </c:extLst>
          </c:dPt>
          <c:dPt>
            <c:idx val="1"/>
            <c:bubble3D val="0"/>
            <c:spPr>
              <a:solidFill>
                <a:schemeClr val="bg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0BE-43B6-AF73-E85AF9EC168E}"/>
              </c:ext>
            </c:extLst>
          </c:dPt>
          <c:cat>
            <c:strRef>
              <c:f>Tablas!$U$29:$U$30</c:f>
              <c:strCache>
                <c:ptCount val="2"/>
                <c:pt idx="0">
                  <c:v>Avance</c:v>
                </c:pt>
                <c:pt idx="1">
                  <c:v>Falta</c:v>
                </c:pt>
              </c:strCache>
            </c:strRef>
          </c:cat>
          <c:val>
            <c:numRef>
              <c:f>Tablas!$V$29:$V$30</c:f>
              <c:numCache>
                <c:formatCode>0%</c:formatCode>
                <c:ptCount val="2"/>
                <c:pt idx="0">
                  <c:v>0.79396629712992439</c:v>
                </c:pt>
                <c:pt idx="1">
                  <c:v>0.20603370287007561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BE-43B6-AF73-E85AF9EC1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FE9-46ED-BEE7-4E8398591100}"/>
              </c:ext>
            </c:extLst>
          </c:dPt>
          <c:dPt>
            <c:idx val="1"/>
            <c:bubble3D val="0"/>
            <c:spPr>
              <a:solidFill>
                <a:schemeClr val="bg2">
                  <a:lumMod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FE9-46ED-BEE7-4E8398591100}"/>
              </c:ext>
            </c:extLst>
          </c:dPt>
          <c:cat>
            <c:strRef>
              <c:f>Tablas!$W$19:$W$20</c:f>
              <c:strCache>
                <c:ptCount val="2"/>
                <c:pt idx="0">
                  <c:v>finalizado</c:v>
                </c:pt>
                <c:pt idx="1">
                  <c:v>Sin iniciar</c:v>
                </c:pt>
              </c:strCache>
            </c:strRef>
          </c:cat>
          <c:val>
            <c:numRef>
              <c:f>Tablas!$X$19:$X$20</c:f>
              <c:numCache>
                <c:formatCode>0%</c:formatCode>
                <c:ptCount val="2"/>
                <c:pt idx="0">
                  <c:v>0.61538461538461542</c:v>
                </c:pt>
                <c:pt idx="1">
                  <c:v>0.38461538461538464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9-46ED-BEE7-4E8398591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69668</xdr:colOff>
      <xdr:row>24</xdr:row>
      <xdr:rowOff>40867</xdr:rowOff>
    </xdr:from>
    <xdr:to>
      <xdr:col>9</xdr:col>
      <xdr:colOff>662940</xdr:colOff>
      <xdr:row>36</xdr:row>
      <xdr:rowOff>174015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9E05B067-B89F-4740-98F0-CD8989697360}"/>
            </a:ext>
          </a:extLst>
        </xdr:cNvPr>
        <xdr:cNvSpPr/>
      </xdr:nvSpPr>
      <xdr:spPr>
        <a:xfrm>
          <a:off x="6592388" y="4429987"/>
          <a:ext cx="5515792" cy="2327708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54428</xdr:colOff>
      <xdr:row>24</xdr:row>
      <xdr:rowOff>42889</xdr:rowOff>
    </xdr:from>
    <xdr:to>
      <xdr:col>5</xdr:col>
      <xdr:colOff>1601754</xdr:colOff>
      <xdr:row>36</xdr:row>
      <xdr:rowOff>176037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21E8C80-8C07-401D-9254-07896032EC31}"/>
            </a:ext>
          </a:extLst>
        </xdr:cNvPr>
        <xdr:cNvSpPr/>
      </xdr:nvSpPr>
      <xdr:spPr>
        <a:xfrm>
          <a:off x="54428" y="4432009"/>
          <a:ext cx="6424126" cy="2327708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20</xdr:col>
      <xdr:colOff>1122218</xdr:colOff>
      <xdr:row>118</xdr:row>
      <xdr:rowOff>83126</xdr:rowOff>
    </xdr:from>
    <xdr:to>
      <xdr:col>23</xdr:col>
      <xdr:colOff>775855</xdr:colOff>
      <xdr:row>126</xdr:row>
      <xdr:rowOff>152398</xdr:rowOff>
    </xdr:to>
    <xdr:sp macro="" textlink="$X$100">
      <xdr:nvSpPr>
        <xdr:cNvPr id="14" name="CuadroTexto 13">
          <a:extLst>
            <a:ext uri="{FF2B5EF4-FFF2-40B4-BE49-F238E27FC236}">
              <a16:creationId xmlns:a16="http://schemas.microsoft.com/office/drawing/2014/main" id="{5DA6D7D6-37D2-4DE7-A0B0-E6BC81628A05}"/>
            </a:ext>
          </a:extLst>
        </xdr:cNvPr>
        <xdr:cNvSpPr txBox="1"/>
      </xdr:nvSpPr>
      <xdr:spPr>
        <a:xfrm>
          <a:off x="16126691" y="9531926"/>
          <a:ext cx="4835237" cy="15101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FA03C45-9AC8-4540-97CE-F9CD525F90DA}" type="TxLink">
            <a:rPr lang="en-US" sz="60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 </a:t>
          </a:fld>
          <a:endParaRPr lang="es-PE" sz="6000"/>
        </a:p>
      </xdr:txBody>
    </xdr:sp>
    <xdr:clientData/>
  </xdr:twoCellAnchor>
  <xdr:twoCellAnchor>
    <xdr:from>
      <xdr:col>11</xdr:col>
      <xdr:colOff>1453036</xdr:colOff>
      <xdr:row>6</xdr:row>
      <xdr:rowOff>100837</xdr:rowOff>
    </xdr:from>
    <xdr:to>
      <xdr:col>13</xdr:col>
      <xdr:colOff>1939638</xdr:colOff>
      <xdr:row>9</xdr:row>
      <xdr:rowOff>240591</xdr:rowOff>
    </xdr:to>
    <xdr:sp macro="" textlink="$AM$102">
      <xdr:nvSpPr>
        <xdr:cNvPr id="17" name="CuadroTexto 16">
          <a:extLst>
            <a:ext uri="{FF2B5EF4-FFF2-40B4-BE49-F238E27FC236}">
              <a16:creationId xmlns:a16="http://schemas.microsoft.com/office/drawing/2014/main" id="{DE6D21F7-4793-4D5C-9E24-EC1D978E48E3}"/>
            </a:ext>
          </a:extLst>
        </xdr:cNvPr>
        <xdr:cNvSpPr txBox="1"/>
      </xdr:nvSpPr>
      <xdr:spPr>
        <a:xfrm>
          <a:off x="16208127" y="1888073"/>
          <a:ext cx="3700856" cy="929463"/>
        </a:xfrm>
        <a:prstGeom prst="round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0F9228-6DCC-49C7-9402-4A4EFD9F6BF9}" type="TxLink">
            <a:rPr lang="en-US" sz="4000" b="0" i="0" u="none" strike="noStrike">
              <a:solidFill>
                <a:srgbClr val="000000"/>
              </a:solidFill>
              <a:latin typeface="Calibri"/>
              <a:ea typeface="+mn-ea"/>
              <a:cs typeface="Calibri"/>
            </a:rPr>
            <a:pPr marL="0" indent="0" algn="ctr"/>
            <a:t> </a:t>
          </a:fld>
          <a:endParaRPr lang="en-US" sz="4000" b="0" i="0" u="none" strike="noStrike">
            <a:solidFill>
              <a:srgbClr val="000000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12</xdr:col>
      <xdr:colOff>504000</xdr:colOff>
      <xdr:row>6</xdr:row>
      <xdr:rowOff>127161</xdr:rowOff>
    </xdr:from>
    <xdr:to>
      <xdr:col>14</xdr:col>
      <xdr:colOff>87285</xdr:colOff>
      <xdr:row>10</xdr:row>
      <xdr:rowOff>3678</xdr:rowOff>
    </xdr:to>
    <xdr:sp macro="" textlink="$AD$34">
      <xdr:nvSpPr>
        <xdr:cNvPr id="20" name="CuadroTexto 19">
          <a:extLst>
            <a:ext uri="{FF2B5EF4-FFF2-40B4-BE49-F238E27FC236}">
              <a16:creationId xmlns:a16="http://schemas.microsoft.com/office/drawing/2014/main" id="{0FA7E840-C83C-4CF2-9478-9AAA6B3A3F2E}"/>
            </a:ext>
          </a:extLst>
        </xdr:cNvPr>
        <xdr:cNvSpPr txBox="1"/>
      </xdr:nvSpPr>
      <xdr:spPr>
        <a:xfrm>
          <a:off x="16990909" y="1914397"/>
          <a:ext cx="4127576" cy="929463"/>
        </a:xfrm>
        <a:prstGeom prst="round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DA49D91-B38C-4371-970B-C1EB75DE16F2}" type="TxLink">
            <a:rPr lang="en-US" sz="36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es-PE" sz="344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14</xdr:col>
      <xdr:colOff>1149930</xdr:colOff>
      <xdr:row>0</xdr:row>
      <xdr:rowOff>429492</xdr:rowOff>
    </xdr:from>
    <xdr:to>
      <xdr:col>16</xdr:col>
      <xdr:colOff>1341123</xdr:colOff>
      <xdr:row>13</xdr:row>
      <xdr:rowOff>15241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65E50302-1975-33C6-952C-7C52D5D51E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2150919</xdr:colOff>
      <xdr:row>4</xdr:row>
      <xdr:rowOff>71005</xdr:rowOff>
    </xdr:from>
    <xdr:to>
      <xdr:col>15</xdr:col>
      <xdr:colOff>1845682</xdr:colOff>
      <xdr:row>7</xdr:row>
      <xdr:rowOff>137960</xdr:rowOff>
    </xdr:to>
    <xdr:sp macro="" textlink="$AF$15">
      <xdr:nvSpPr>
        <xdr:cNvPr id="25" name="CuadroTexto 24">
          <a:extLst>
            <a:ext uri="{FF2B5EF4-FFF2-40B4-BE49-F238E27FC236}">
              <a16:creationId xmlns:a16="http://schemas.microsoft.com/office/drawing/2014/main" id="{D985615D-A42A-41CD-A424-43ECA57CAE1A}"/>
            </a:ext>
          </a:extLst>
        </xdr:cNvPr>
        <xdr:cNvSpPr txBox="1"/>
      </xdr:nvSpPr>
      <xdr:spPr>
        <a:xfrm>
          <a:off x="23177357" y="1333068"/>
          <a:ext cx="1933138" cy="852767"/>
        </a:xfrm>
        <a:prstGeom prst="round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fld id="{87C1DF89-974C-46E6-AA08-2E1EF34A8F6D}" type="TxLink">
            <a:rPr lang="en-US" sz="4000" b="0" i="0" u="none" strike="noStrike">
              <a:solidFill>
                <a:srgbClr val="000000"/>
              </a:solidFill>
              <a:latin typeface="Calibri"/>
              <a:ea typeface="+mn-ea"/>
              <a:cs typeface="Calibri"/>
            </a:rPr>
            <a:pPr marL="0" indent="0" algn="r"/>
            <a:t> </a:t>
          </a:fld>
          <a:endParaRPr lang="es-PE" sz="11500" b="0" i="0" u="none" strike="noStrike">
            <a:solidFill>
              <a:srgbClr val="000000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14</xdr:col>
      <xdr:colOff>572886</xdr:colOff>
      <xdr:row>0</xdr:row>
      <xdr:rowOff>190500</xdr:rowOff>
    </xdr:from>
    <xdr:to>
      <xdr:col>16</xdr:col>
      <xdr:colOff>1060564</xdr:colOff>
      <xdr:row>11</xdr:row>
      <xdr:rowOff>96981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216AD34F-D99B-8597-2A96-F5994C57AE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295274</xdr:colOff>
      <xdr:row>79</xdr:row>
      <xdr:rowOff>152400</xdr:rowOff>
    </xdr:from>
    <xdr:to>
      <xdr:col>14</xdr:col>
      <xdr:colOff>1276350</xdr:colOff>
      <xdr:row>96</xdr:row>
      <xdr:rowOff>152400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A75A6BA-BDC4-4650-18BA-43458E2AF4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2324100</xdr:colOff>
      <xdr:row>86</xdr:row>
      <xdr:rowOff>95250</xdr:rowOff>
    </xdr:from>
    <xdr:to>
      <xdr:col>13</xdr:col>
      <xdr:colOff>1866900</xdr:colOff>
      <xdr:row>91</xdr:row>
      <xdr:rowOff>133350</xdr:rowOff>
    </xdr:to>
    <xdr:sp macro="" textlink="$AD$98">
      <xdr:nvSpPr>
        <xdr:cNvPr id="7" name="CuadroTexto 6">
          <a:extLst>
            <a:ext uri="{FF2B5EF4-FFF2-40B4-BE49-F238E27FC236}">
              <a16:creationId xmlns:a16="http://schemas.microsoft.com/office/drawing/2014/main" id="{CC73B96D-1CC6-BC0F-C47A-65176D57C53C}"/>
            </a:ext>
          </a:extLst>
        </xdr:cNvPr>
        <xdr:cNvSpPr txBox="1"/>
      </xdr:nvSpPr>
      <xdr:spPr>
        <a:xfrm>
          <a:off x="18783300" y="17754600"/>
          <a:ext cx="2133600" cy="990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ABAE5F-B2CE-48B0-AE7E-E8A6DB6827EE}" type="TxLink">
            <a:rPr lang="en-US" sz="36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 </a:t>
          </a:fld>
          <a:endParaRPr lang="es-PE" sz="3200"/>
        </a:p>
      </xdr:txBody>
    </xdr:sp>
    <xdr:clientData/>
  </xdr:twoCellAnchor>
  <xdr:twoCellAnchor>
    <xdr:from>
      <xdr:col>7</xdr:col>
      <xdr:colOff>1476512</xdr:colOff>
      <xdr:row>86</xdr:row>
      <xdr:rowOff>160443</xdr:rowOff>
    </xdr:from>
    <xdr:to>
      <xdr:col>10</xdr:col>
      <xdr:colOff>788864</xdr:colOff>
      <xdr:row>91</xdr:row>
      <xdr:rowOff>147797</xdr:rowOff>
    </xdr:to>
    <xdr:sp macro="" textlink="$AD$162">
      <xdr:nvSpPr>
        <xdr:cNvPr id="39" name="CuadroTexto 38">
          <a:extLst>
            <a:ext uri="{FF2B5EF4-FFF2-40B4-BE49-F238E27FC236}">
              <a16:creationId xmlns:a16="http://schemas.microsoft.com/office/drawing/2014/main" id="{7585DEE0-CD5C-42AA-AD39-534D8923A9D5}"/>
            </a:ext>
          </a:extLst>
        </xdr:cNvPr>
        <xdr:cNvSpPr txBox="1"/>
      </xdr:nvSpPr>
      <xdr:spPr>
        <a:xfrm>
          <a:off x="9723045" y="17601776"/>
          <a:ext cx="4138352" cy="918688"/>
        </a:xfrm>
        <a:prstGeom prst="round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2BD5EEA-888F-4C1F-802C-D02E149BCE55}" type="TxLink">
            <a:rPr lang="en-US" sz="36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es-PE" sz="2558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1</xdr:col>
      <xdr:colOff>774625</xdr:colOff>
      <xdr:row>86</xdr:row>
      <xdr:rowOff>154093</xdr:rowOff>
    </xdr:from>
    <xdr:to>
      <xdr:col>5</xdr:col>
      <xdr:colOff>315578</xdr:colOff>
      <xdr:row>91</xdr:row>
      <xdr:rowOff>141446</xdr:rowOff>
    </xdr:to>
    <xdr:sp macro="" textlink="$X$100">
      <xdr:nvSpPr>
        <xdr:cNvPr id="42" name="CuadroTexto 41">
          <a:extLst>
            <a:ext uri="{FF2B5EF4-FFF2-40B4-BE49-F238E27FC236}">
              <a16:creationId xmlns:a16="http://schemas.microsoft.com/office/drawing/2014/main" id="{C06902F7-E769-4C21-B287-A42939D421B1}"/>
            </a:ext>
          </a:extLst>
        </xdr:cNvPr>
        <xdr:cNvSpPr txBox="1"/>
      </xdr:nvSpPr>
      <xdr:spPr>
        <a:xfrm>
          <a:off x="1570492" y="17595426"/>
          <a:ext cx="4112953" cy="918687"/>
        </a:xfrm>
        <a:prstGeom prst="round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07F6E3-C71A-485C-ACAA-6294773EFD19}" type="TxLink">
            <a:rPr lang="en-US" sz="36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es-PE" sz="49600">
            <a:latin typeface="Arial Rounded MT Bold" panose="020F0704030504030204" pitchFamily="34" charset="0"/>
          </a:endParaRPr>
        </a:p>
      </xdr:txBody>
    </xdr:sp>
    <xdr:clientData/>
  </xdr:twoCellAnchor>
  <xdr:twoCellAnchor>
    <xdr:from>
      <xdr:col>0</xdr:col>
      <xdr:colOff>378354</xdr:colOff>
      <xdr:row>5</xdr:row>
      <xdr:rowOff>82021</xdr:rowOff>
    </xdr:from>
    <xdr:to>
      <xdr:col>2</xdr:col>
      <xdr:colOff>1449036</xdr:colOff>
      <xdr:row>8</xdr:row>
      <xdr:rowOff>113771</xdr:rowOff>
    </xdr:to>
    <xdr:sp macro="" textlink="">
      <xdr:nvSpPr>
        <xdr:cNvPr id="6" name="Rectángulo: esquinas redondeadas 5">
          <a:extLst>
            <a:ext uri="{FF2B5EF4-FFF2-40B4-BE49-F238E27FC236}">
              <a16:creationId xmlns:a16="http://schemas.microsoft.com/office/drawing/2014/main" id="{F74166B1-4BE4-4D8F-92F7-B683DDDFED06}"/>
            </a:ext>
          </a:extLst>
        </xdr:cNvPr>
        <xdr:cNvSpPr/>
      </xdr:nvSpPr>
      <xdr:spPr>
        <a:xfrm>
          <a:off x="378354" y="994834"/>
          <a:ext cx="2832807" cy="579437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46654</xdr:colOff>
      <xdr:row>9</xdr:row>
      <xdr:rowOff>143039</xdr:rowOff>
    </xdr:from>
    <xdr:to>
      <xdr:col>5</xdr:col>
      <xdr:colOff>1593980</xdr:colOff>
      <xdr:row>22</xdr:row>
      <xdr:rowOff>93307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F0446361-4923-4D7C-8522-3D5A882901B8}"/>
            </a:ext>
          </a:extLst>
        </xdr:cNvPr>
        <xdr:cNvSpPr/>
      </xdr:nvSpPr>
      <xdr:spPr>
        <a:xfrm>
          <a:off x="46654" y="1822549"/>
          <a:ext cx="6430346" cy="2376227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378354</xdr:colOff>
      <xdr:row>5</xdr:row>
      <xdr:rowOff>78602</xdr:rowOff>
    </xdr:from>
    <xdr:to>
      <xdr:col>1</xdr:col>
      <xdr:colOff>750371</xdr:colOff>
      <xdr:row>8</xdr:row>
      <xdr:rowOff>110352</xdr:rowOff>
    </xdr:to>
    <xdr:sp macro="" textlink="">
      <xdr:nvSpPr>
        <xdr:cNvPr id="10" name="Rectángulo: esquinas redondeadas 9">
          <a:extLst>
            <a:ext uri="{FF2B5EF4-FFF2-40B4-BE49-F238E27FC236}">
              <a16:creationId xmlns:a16="http://schemas.microsoft.com/office/drawing/2014/main" id="{A40F959E-B595-4E50-B12D-6C8199D90E42}"/>
            </a:ext>
          </a:extLst>
        </xdr:cNvPr>
        <xdr:cNvSpPr/>
      </xdr:nvSpPr>
      <xdr:spPr>
        <a:xfrm>
          <a:off x="378354" y="991415"/>
          <a:ext cx="1268955" cy="579437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accent5">
              <a:lumMod val="20000"/>
              <a:lumOff val="8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427742</xdr:colOff>
      <xdr:row>6</xdr:row>
      <xdr:rowOff>23653</xdr:rowOff>
    </xdr:from>
    <xdr:to>
      <xdr:col>1</xdr:col>
      <xdr:colOff>679096</xdr:colOff>
      <xdr:row>7</xdr:row>
      <xdr:rowOff>143597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89BAA90E-8E18-500C-50CF-CF227C164313}"/>
            </a:ext>
          </a:extLst>
        </xdr:cNvPr>
        <xdr:cNvSpPr txBox="1"/>
      </xdr:nvSpPr>
      <xdr:spPr>
        <a:xfrm>
          <a:off x="427742" y="1132017"/>
          <a:ext cx="1151899" cy="3046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600">
              <a:latin typeface="Monotype Corsiva" panose="03010101010201010101" pitchFamily="66" charset="0"/>
            </a:rPr>
            <a:t>Presupuesto </a:t>
          </a:r>
        </a:p>
      </xdr:txBody>
    </xdr:sp>
    <xdr:clientData/>
  </xdr:twoCellAnchor>
  <xdr:twoCellAnchor>
    <xdr:from>
      <xdr:col>1</xdr:col>
      <xdr:colOff>714375</xdr:colOff>
      <xdr:row>5</xdr:row>
      <xdr:rowOff>82826</xdr:rowOff>
    </xdr:from>
    <xdr:to>
      <xdr:col>2</xdr:col>
      <xdr:colOff>1474305</xdr:colOff>
      <xdr:row>8</xdr:row>
      <xdr:rowOff>115957</xdr:rowOff>
    </xdr:to>
    <xdr:sp macro="" textlink="Tablas!B21">
      <xdr:nvSpPr>
        <xdr:cNvPr id="23" name="CuadroTexto 22">
          <a:extLst>
            <a:ext uri="{FF2B5EF4-FFF2-40B4-BE49-F238E27FC236}">
              <a16:creationId xmlns:a16="http://schemas.microsoft.com/office/drawing/2014/main" id="{BD756B9F-1A4C-4AE5-B530-DEEB49CEA64D}"/>
            </a:ext>
          </a:extLst>
        </xdr:cNvPr>
        <xdr:cNvSpPr txBox="1"/>
      </xdr:nvSpPr>
      <xdr:spPr>
        <a:xfrm>
          <a:off x="1617179" y="993913"/>
          <a:ext cx="1629604" cy="5797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EE8D148F-CAFD-44D5-A774-7352F210D650}" type="TxLink">
            <a:rPr lang="en-US" sz="2400" b="1" i="0" u="none" strike="noStrike">
              <a:solidFill>
                <a:schemeClr val="tx2"/>
              </a:solidFill>
              <a:latin typeface="Calibri"/>
              <a:cs typeface="Calibri"/>
            </a:rPr>
            <a:pPr/>
            <a:t> S/ 507,300 </a:t>
          </a:fld>
          <a:endParaRPr lang="es-PE" sz="4800" b="1">
            <a:solidFill>
              <a:schemeClr val="tx2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0</xdr:col>
      <xdr:colOff>291924</xdr:colOff>
      <xdr:row>9</xdr:row>
      <xdr:rowOff>127881</xdr:rowOff>
    </xdr:from>
    <xdr:to>
      <xdr:col>2</xdr:col>
      <xdr:colOff>404813</xdr:colOff>
      <xdr:row>11</xdr:row>
      <xdr:rowOff>120992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11ED8336-6602-4892-AFD4-CBA20483538B}"/>
            </a:ext>
          </a:extLst>
        </xdr:cNvPr>
        <xdr:cNvSpPr txBox="1"/>
      </xdr:nvSpPr>
      <xdr:spPr>
        <a:xfrm>
          <a:off x="291924" y="1770944"/>
          <a:ext cx="1875014" cy="358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600" b="1">
              <a:solidFill>
                <a:schemeClr val="accent1">
                  <a:lumMod val="50000"/>
                </a:schemeClr>
              </a:solidFill>
              <a:latin typeface="Monotype Corsiva" panose="03010101010201010101" pitchFamily="66" charset="0"/>
            </a:rPr>
            <a:t>Proyectos</a:t>
          </a:r>
          <a:r>
            <a:rPr lang="es-PE" sz="1600" b="1" baseline="0">
              <a:solidFill>
                <a:schemeClr val="accent1">
                  <a:lumMod val="50000"/>
                </a:schemeClr>
              </a:solidFill>
              <a:latin typeface="Monotype Corsiva" panose="03010101010201010101" pitchFamily="66" charset="0"/>
            </a:rPr>
            <a:t> Aprobados</a:t>
          </a:r>
          <a:endParaRPr lang="es-PE" sz="1600" b="1">
            <a:solidFill>
              <a:schemeClr val="accent1">
                <a:lumMod val="50000"/>
              </a:schemeClr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0</xdr:col>
      <xdr:colOff>292628</xdr:colOff>
      <xdr:row>23</xdr:row>
      <xdr:rowOff>169155</xdr:rowOff>
    </xdr:from>
    <xdr:to>
      <xdr:col>2</xdr:col>
      <xdr:colOff>405517</xdr:colOff>
      <xdr:row>25</xdr:row>
      <xdr:rowOff>162266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55E68640-7ADA-44AC-A689-FBAFF52B968B}"/>
            </a:ext>
          </a:extLst>
        </xdr:cNvPr>
        <xdr:cNvSpPr txBox="1"/>
      </xdr:nvSpPr>
      <xdr:spPr>
        <a:xfrm>
          <a:off x="292628" y="4368093"/>
          <a:ext cx="1875014" cy="3582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600" b="1">
              <a:solidFill>
                <a:schemeClr val="accent1">
                  <a:lumMod val="50000"/>
                </a:schemeClr>
              </a:solidFill>
              <a:latin typeface="Monotype Corsiva" panose="03010101010201010101" pitchFamily="66" charset="0"/>
            </a:rPr>
            <a:t>Proyectos</a:t>
          </a:r>
          <a:r>
            <a:rPr lang="es-PE" sz="1600" b="1" baseline="0">
              <a:solidFill>
                <a:schemeClr val="accent1">
                  <a:lumMod val="50000"/>
                </a:schemeClr>
              </a:solidFill>
              <a:latin typeface="Monotype Corsiva" panose="03010101010201010101" pitchFamily="66" charset="0"/>
            </a:rPr>
            <a:t> Ejecutados</a:t>
          </a:r>
          <a:endParaRPr lang="es-PE" sz="1600" b="1">
            <a:solidFill>
              <a:schemeClr val="accent1">
                <a:lumMod val="50000"/>
              </a:schemeClr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3</xdr:col>
      <xdr:colOff>195792</xdr:colOff>
      <xdr:row>5</xdr:row>
      <xdr:rowOff>102305</xdr:rowOff>
    </xdr:from>
    <xdr:to>
      <xdr:col>5</xdr:col>
      <xdr:colOff>1496661</xdr:colOff>
      <xdr:row>8</xdr:row>
      <xdr:rowOff>134055</xdr:rowOff>
    </xdr:to>
    <xdr:sp macro="" textlink="">
      <xdr:nvSpPr>
        <xdr:cNvPr id="27" name="Rectángulo: esquinas redondeadas 26">
          <a:extLst>
            <a:ext uri="{FF2B5EF4-FFF2-40B4-BE49-F238E27FC236}">
              <a16:creationId xmlns:a16="http://schemas.microsoft.com/office/drawing/2014/main" id="{9490A5BB-4C49-477C-8B67-8F9B5FD26A55}"/>
            </a:ext>
          </a:extLst>
        </xdr:cNvPr>
        <xdr:cNvSpPr/>
      </xdr:nvSpPr>
      <xdr:spPr>
        <a:xfrm>
          <a:off x="3529542" y="1015118"/>
          <a:ext cx="2832807" cy="579437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195792</xdr:colOff>
      <xdr:row>5</xdr:row>
      <xdr:rowOff>102305</xdr:rowOff>
    </xdr:from>
    <xdr:to>
      <xdr:col>4</xdr:col>
      <xdr:colOff>797997</xdr:colOff>
      <xdr:row>8</xdr:row>
      <xdr:rowOff>134055</xdr:rowOff>
    </xdr:to>
    <xdr:sp macro="" textlink="">
      <xdr:nvSpPr>
        <xdr:cNvPr id="29" name="Rectángulo: esquinas redondeadas 28">
          <a:extLst>
            <a:ext uri="{FF2B5EF4-FFF2-40B4-BE49-F238E27FC236}">
              <a16:creationId xmlns:a16="http://schemas.microsoft.com/office/drawing/2014/main" id="{057EFEC9-F8DB-40E4-8A3F-835A84170999}"/>
            </a:ext>
          </a:extLst>
        </xdr:cNvPr>
        <xdr:cNvSpPr/>
      </xdr:nvSpPr>
      <xdr:spPr>
        <a:xfrm>
          <a:off x="3529542" y="1015118"/>
          <a:ext cx="1268955" cy="579437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accent5">
              <a:lumMod val="20000"/>
              <a:lumOff val="8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365444</xdr:colOff>
      <xdr:row>5</xdr:row>
      <xdr:rowOff>107598</xdr:rowOff>
    </xdr:from>
    <xdr:to>
      <xdr:col>4</xdr:col>
      <xdr:colOff>652077</xdr:colOff>
      <xdr:row>9</xdr:row>
      <xdr:rowOff>1</xdr:rowOff>
    </xdr:to>
    <xdr:sp macro="" textlink="">
      <xdr:nvSpPr>
        <xdr:cNvPr id="30" name="CuadroTexto 29">
          <a:extLst>
            <a:ext uri="{FF2B5EF4-FFF2-40B4-BE49-F238E27FC236}">
              <a16:creationId xmlns:a16="http://schemas.microsoft.com/office/drawing/2014/main" id="{5550D3CB-B1C9-4ADE-A5AF-CCAAD476FE84}"/>
            </a:ext>
          </a:extLst>
        </xdr:cNvPr>
        <xdr:cNvSpPr txBox="1"/>
      </xdr:nvSpPr>
      <xdr:spPr>
        <a:xfrm>
          <a:off x="3705929" y="1031234"/>
          <a:ext cx="956269" cy="631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600">
              <a:latin typeface="Monotype Corsiva" panose="03010101010201010101" pitchFamily="66" charset="0"/>
            </a:rPr>
            <a:t>Proyectos</a:t>
          </a:r>
          <a:r>
            <a:rPr lang="es-PE" sz="1600" baseline="0">
              <a:latin typeface="Monotype Corsiva" panose="03010101010201010101" pitchFamily="66" charset="0"/>
            </a:rPr>
            <a:t> Aprobados</a:t>
          </a:r>
          <a:r>
            <a:rPr lang="es-PE" sz="1600">
              <a:latin typeface="Monotype Corsiva" panose="03010101010201010101" pitchFamily="66" charset="0"/>
            </a:rPr>
            <a:t> </a:t>
          </a:r>
        </a:p>
      </xdr:txBody>
    </xdr:sp>
    <xdr:clientData/>
  </xdr:twoCellAnchor>
  <xdr:twoCellAnchor>
    <xdr:from>
      <xdr:col>4</xdr:col>
      <xdr:colOff>792788</xdr:colOff>
      <xdr:row>5</xdr:row>
      <xdr:rowOff>92365</xdr:rowOff>
    </xdr:from>
    <xdr:to>
      <xdr:col>5</xdr:col>
      <xdr:colOff>1539874</xdr:colOff>
      <xdr:row>8</xdr:row>
      <xdr:rowOff>130849</xdr:rowOff>
    </xdr:to>
    <xdr:sp macro="" textlink="Tablas!E21">
      <xdr:nvSpPr>
        <xdr:cNvPr id="31" name="CuadroTexto 30">
          <a:extLst>
            <a:ext uri="{FF2B5EF4-FFF2-40B4-BE49-F238E27FC236}">
              <a16:creationId xmlns:a16="http://schemas.microsoft.com/office/drawing/2014/main" id="{33DD7DE7-402D-4599-BFE3-0729F477E2D8}"/>
            </a:ext>
          </a:extLst>
        </xdr:cNvPr>
        <xdr:cNvSpPr txBox="1"/>
      </xdr:nvSpPr>
      <xdr:spPr>
        <a:xfrm>
          <a:off x="4802909" y="1016001"/>
          <a:ext cx="1616844" cy="592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/>
          <a:fld id="{A26F4E5A-4D48-47AB-86D6-BFCBFF1D5D2A}" type="TxLink">
            <a:rPr lang="en-US" sz="2400" b="1" i="0" u="none" strike="noStrike">
              <a:solidFill>
                <a:schemeClr val="tx2"/>
              </a:solidFill>
              <a:latin typeface="Calibri"/>
              <a:ea typeface="+mn-ea"/>
              <a:cs typeface="Calibri"/>
            </a:rPr>
            <a:pPr marL="0" indent="0"/>
            <a:t> S/ 299,245 </a:t>
          </a:fld>
          <a:endParaRPr lang="es-PE" sz="2400" b="1" i="0" u="none" strike="noStrike">
            <a:solidFill>
              <a:schemeClr val="tx2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6</xdr:col>
      <xdr:colOff>173567</xdr:colOff>
      <xdr:row>5</xdr:row>
      <xdr:rowOff>103892</xdr:rowOff>
    </xdr:from>
    <xdr:to>
      <xdr:col>7</xdr:col>
      <xdr:colOff>1768124</xdr:colOff>
      <xdr:row>8</xdr:row>
      <xdr:rowOff>135642</xdr:rowOff>
    </xdr:to>
    <xdr:sp macro="" textlink="">
      <xdr:nvSpPr>
        <xdr:cNvPr id="32" name="Rectángulo: esquinas redondeadas 31">
          <a:extLst>
            <a:ext uri="{FF2B5EF4-FFF2-40B4-BE49-F238E27FC236}">
              <a16:creationId xmlns:a16="http://schemas.microsoft.com/office/drawing/2014/main" id="{423E8DE7-1903-4514-BA81-BD3983B0C515}"/>
            </a:ext>
          </a:extLst>
        </xdr:cNvPr>
        <xdr:cNvSpPr/>
      </xdr:nvSpPr>
      <xdr:spPr>
        <a:xfrm>
          <a:off x="6682317" y="1016705"/>
          <a:ext cx="2832807" cy="579437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173567</xdr:colOff>
      <xdr:row>5</xdr:row>
      <xdr:rowOff>103892</xdr:rowOff>
    </xdr:from>
    <xdr:to>
      <xdr:col>7</xdr:col>
      <xdr:colOff>204272</xdr:colOff>
      <xdr:row>8</xdr:row>
      <xdr:rowOff>135642</xdr:rowOff>
    </xdr:to>
    <xdr:sp macro="" textlink="">
      <xdr:nvSpPr>
        <xdr:cNvPr id="33" name="Rectángulo: esquinas redondeadas 32">
          <a:extLst>
            <a:ext uri="{FF2B5EF4-FFF2-40B4-BE49-F238E27FC236}">
              <a16:creationId xmlns:a16="http://schemas.microsoft.com/office/drawing/2014/main" id="{F2315C54-D417-45BC-84FE-D7279C7D114F}"/>
            </a:ext>
          </a:extLst>
        </xdr:cNvPr>
        <xdr:cNvSpPr/>
      </xdr:nvSpPr>
      <xdr:spPr>
        <a:xfrm>
          <a:off x="6682317" y="1016705"/>
          <a:ext cx="1268955" cy="579437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accent5">
              <a:lumMod val="20000"/>
              <a:lumOff val="8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320128</xdr:colOff>
      <xdr:row>5</xdr:row>
      <xdr:rowOff>85373</xdr:rowOff>
    </xdr:from>
    <xdr:to>
      <xdr:col>7</xdr:col>
      <xdr:colOff>113049</xdr:colOff>
      <xdr:row>8</xdr:row>
      <xdr:rowOff>160339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96053FCB-E591-4286-AD51-3EEA87BD1BC9}"/>
            </a:ext>
          </a:extLst>
        </xdr:cNvPr>
        <xdr:cNvSpPr txBox="1"/>
      </xdr:nvSpPr>
      <xdr:spPr>
        <a:xfrm>
          <a:off x="6847158" y="1009009"/>
          <a:ext cx="1032133" cy="6291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600">
              <a:latin typeface="Monotype Corsiva" panose="03010101010201010101" pitchFamily="66" charset="0"/>
            </a:rPr>
            <a:t>Proyectos</a:t>
          </a:r>
          <a:r>
            <a:rPr lang="es-PE" sz="1600" baseline="0">
              <a:latin typeface="Monotype Corsiva" panose="03010101010201010101" pitchFamily="66" charset="0"/>
            </a:rPr>
            <a:t> Ejecutados</a:t>
          </a:r>
          <a:endParaRPr lang="es-PE" sz="1600"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7</xdr:col>
      <xdr:colOff>107989</xdr:colOff>
      <xdr:row>5</xdr:row>
      <xdr:rowOff>84898</xdr:rowOff>
    </xdr:from>
    <xdr:to>
      <xdr:col>7</xdr:col>
      <xdr:colOff>1732915</xdr:colOff>
      <xdr:row>8</xdr:row>
      <xdr:rowOff>115686</xdr:rowOff>
    </xdr:to>
    <xdr:sp macro="" textlink="Tablas!H21">
      <xdr:nvSpPr>
        <xdr:cNvPr id="35" name="CuadroTexto 34">
          <a:extLst>
            <a:ext uri="{FF2B5EF4-FFF2-40B4-BE49-F238E27FC236}">
              <a16:creationId xmlns:a16="http://schemas.microsoft.com/office/drawing/2014/main" id="{42D92750-E43A-44D7-84A6-160C23731533}"/>
            </a:ext>
          </a:extLst>
        </xdr:cNvPr>
        <xdr:cNvSpPr txBox="1"/>
      </xdr:nvSpPr>
      <xdr:spPr>
        <a:xfrm>
          <a:off x="7872769" y="999298"/>
          <a:ext cx="1624926" cy="5794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/>
          <a:fld id="{8D26CAD3-9809-4F41-A6AB-1D17EA13B49E}" type="TxLink">
            <a:rPr lang="en-US" sz="2400" b="1" i="0" u="none" strike="noStrike">
              <a:solidFill>
                <a:schemeClr val="tx2"/>
              </a:solidFill>
              <a:latin typeface="Calibri"/>
              <a:ea typeface="+mn-ea"/>
              <a:cs typeface="Calibri"/>
            </a:rPr>
            <a:pPr marL="0" indent="0"/>
            <a:t> S/ 203,180 </a:t>
          </a:fld>
          <a:endParaRPr lang="es-PE" sz="2400" b="1" i="0" u="none" strike="noStrike">
            <a:solidFill>
              <a:schemeClr val="tx2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8</xdr:col>
      <xdr:colOff>181504</xdr:colOff>
      <xdr:row>5</xdr:row>
      <xdr:rowOff>103893</xdr:rowOff>
    </xdr:from>
    <xdr:to>
      <xdr:col>9</xdr:col>
      <xdr:colOff>539749</xdr:colOff>
      <xdr:row>8</xdr:row>
      <xdr:rowOff>135643</xdr:rowOff>
    </xdr:to>
    <xdr:sp macro="" textlink="">
      <xdr:nvSpPr>
        <xdr:cNvPr id="36" name="Rectángulo: esquinas redondeadas 35">
          <a:extLst>
            <a:ext uri="{FF2B5EF4-FFF2-40B4-BE49-F238E27FC236}">
              <a16:creationId xmlns:a16="http://schemas.microsoft.com/office/drawing/2014/main" id="{5433E480-A1BF-4604-AFA4-073C194E3C35}"/>
            </a:ext>
          </a:extLst>
        </xdr:cNvPr>
        <xdr:cNvSpPr/>
      </xdr:nvSpPr>
      <xdr:spPr>
        <a:xfrm>
          <a:off x="9738254" y="1016706"/>
          <a:ext cx="2231495" cy="579437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8</xdr:col>
      <xdr:colOff>181504</xdr:colOff>
      <xdr:row>5</xdr:row>
      <xdr:rowOff>103893</xdr:rowOff>
    </xdr:from>
    <xdr:to>
      <xdr:col>8</xdr:col>
      <xdr:colOff>1450459</xdr:colOff>
      <xdr:row>8</xdr:row>
      <xdr:rowOff>135643</xdr:rowOff>
    </xdr:to>
    <xdr:sp macro="" textlink="">
      <xdr:nvSpPr>
        <xdr:cNvPr id="37" name="Rectángulo: esquinas redondeadas 36">
          <a:extLst>
            <a:ext uri="{FF2B5EF4-FFF2-40B4-BE49-F238E27FC236}">
              <a16:creationId xmlns:a16="http://schemas.microsoft.com/office/drawing/2014/main" id="{46096405-248E-42B4-B560-A5102685E5E5}"/>
            </a:ext>
          </a:extLst>
        </xdr:cNvPr>
        <xdr:cNvSpPr/>
      </xdr:nvSpPr>
      <xdr:spPr>
        <a:xfrm>
          <a:off x="9738254" y="1016706"/>
          <a:ext cx="1268955" cy="579437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accent5">
              <a:lumMod val="20000"/>
              <a:lumOff val="8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8</xdr:col>
      <xdr:colOff>128016</xdr:colOff>
      <xdr:row>5</xdr:row>
      <xdr:rowOff>101567</xdr:rowOff>
    </xdr:from>
    <xdr:to>
      <xdr:col>8</xdr:col>
      <xdr:colOff>1627500</xdr:colOff>
      <xdr:row>9</xdr:row>
      <xdr:rowOff>15241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AB947958-8824-4270-ADC9-FB3E9F3F0B57}"/>
            </a:ext>
          </a:extLst>
        </xdr:cNvPr>
        <xdr:cNvSpPr txBox="1"/>
      </xdr:nvSpPr>
      <xdr:spPr>
        <a:xfrm>
          <a:off x="9698736" y="1015967"/>
          <a:ext cx="1499484" cy="6451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600">
              <a:latin typeface="Monotype Corsiva" panose="03010101010201010101" pitchFamily="66" charset="0"/>
            </a:rPr>
            <a:t>Proyectos</a:t>
          </a:r>
          <a:r>
            <a:rPr lang="es-PE" sz="1600" baseline="0">
              <a:latin typeface="Monotype Corsiva" panose="03010101010201010101" pitchFamily="66" charset="0"/>
            </a:rPr>
            <a:t> Aprobados </a:t>
          </a:r>
          <a:r>
            <a:rPr lang="es-PE" sz="1600">
              <a:latin typeface="Monotype Corsiva" panose="03010101010201010101" pitchFamily="66" charset="0"/>
            </a:rPr>
            <a:t>(und)</a:t>
          </a:r>
        </a:p>
      </xdr:txBody>
    </xdr:sp>
    <xdr:clientData/>
  </xdr:twoCellAnchor>
  <xdr:twoCellAnchor>
    <xdr:from>
      <xdr:col>8</xdr:col>
      <xdr:colOff>1447031</xdr:colOff>
      <xdr:row>5</xdr:row>
      <xdr:rowOff>92364</xdr:rowOff>
    </xdr:from>
    <xdr:to>
      <xdr:col>9</xdr:col>
      <xdr:colOff>531091</xdr:colOff>
      <xdr:row>8</xdr:row>
      <xdr:rowOff>138546</xdr:rowOff>
    </xdr:to>
    <xdr:sp macro="" textlink="Tablas!K21">
      <xdr:nvSpPr>
        <xdr:cNvPr id="40" name="CuadroTexto 39">
          <a:extLst>
            <a:ext uri="{FF2B5EF4-FFF2-40B4-BE49-F238E27FC236}">
              <a16:creationId xmlns:a16="http://schemas.microsoft.com/office/drawing/2014/main" id="{C176EF55-90D3-4F19-A774-39062EBA89A9}"/>
            </a:ext>
          </a:extLst>
        </xdr:cNvPr>
        <xdr:cNvSpPr txBox="1"/>
      </xdr:nvSpPr>
      <xdr:spPr>
        <a:xfrm>
          <a:off x="11022061" y="1016000"/>
          <a:ext cx="962121" cy="6003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EE69C0ED-CEF9-43D2-904C-D35D42B9CB4E}" type="TxLink">
            <a:rPr lang="en-US" sz="2400" b="1" i="0" u="none" strike="noStrike">
              <a:solidFill>
                <a:schemeClr val="tx2"/>
              </a:solidFill>
              <a:latin typeface="Calibri"/>
              <a:ea typeface="+mn-ea"/>
              <a:cs typeface="Calibri"/>
            </a:rPr>
            <a:pPr marL="0" indent="0" algn="ctr"/>
            <a:t>24</a:t>
          </a:fld>
          <a:endParaRPr lang="es-PE" sz="2400" b="1" i="0" u="none" strike="noStrike">
            <a:solidFill>
              <a:schemeClr val="tx2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 editAs="oneCell">
    <xdr:from>
      <xdr:col>9</xdr:col>
      <xdr:colOff>615315</xdr:colOff>
      <xdr:row>1</xdr:row>
      <xdr:rowOff>38735</xdr:rowOff>
    </xdr:from>
    <xdr:to>
      <xdr:col>10</xdr:col>
      <xdr:colOff>1469707</xdr:colOff>
      <xdr:row>5</xdr:row>
      <xdr:rowOff>38735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Proy 3">
              <a:extLst>
                <a:ext uri="{FF2B5EF4-FFF2-40B4-BE49-F238E27FC236}">
                  <a16:creationId xmlns:a16="http://schemas.microsoft.com/office/drawing/2014/main" id="{14EE0B12-8FEB-4813-B50E-6132DF62082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Proy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060555" y="221615"/>
              <a:ext cx="1997392" cy="731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55564</xdr:colOff>
      <xdr:row>11</xdr:row>
      <xdr:rowOff>71438</xdr:rowOff>
    </xdr:from>
    <xdr:to>
      <xdr:col>5</xdr:col>
      <xdr:colOff>1611312</xdr:colOff>
      <xdr:row>22</xdr:row>
      <xdr:rowOff>87313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BBC624-51E0-4069-8DAB-FF4E30656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626607</xdr:colOff>
      <xdr:row>9</xdr:row>
      <xdr:rowOff>167015</xdr:rowOff>
    </xdr:from>
    <xdr:to>
      <xdr:col>5</xdr:col>
      <xdr:colOff>1312410</xdr:colOff>
      <xdr:row>12</xdr:row>
      <xdr:rowOff>121946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2CC5462-0896-482A-9556-639260617586}"/>
            </a:ext>
          </a:extLst>
        </xdr:cNvPr>
        <xdr:cNvSpPr txBox="1"/>
      </xdr:nvSpPr>
      <xdr:spPr>
        <a:xfrm>
          <a:off x="5510752" y="1819545"/>
          <a:ext cx="685803" cy="50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200" b="0">
              <a:solidFill>
                <a:srgbClr val="0070C0"/>
              </a:solidFill>
            </a:rPr>
            <a:t>●</a:t>
          </a:r>
          <a:r>
            <a:rPr lang="es-PE" sz="1200" b="0">
              <a:solidFill>
                <a:schemeClr val="accent1">
                  <a:lumMod val="50000"/>
                </a:schemeClr>
              </a:solidFill>
            </a:rPr>
            <a:t>2023</a:t>
          </a:r>
        </a:p>
        <a:p>
          <a:r>
            <a:rPr lang="es-PE" sz="1100" b="0">
              <a:solidFill>
                <a:schemeClr val="accent2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es-PE" sz="1200" b="0">
              <a:solidFill>
                <a:schemeClr val="accent1">
                  <a:lumMod val="50000"/>
                </a:schemeClr>
              </a:solidFill>
            </a:rPr>
            <a:t>2024</a:t>
          </a:r>
        </a:p>
        <a:p>
          <a:endParaRPr lang="es-PE" sz="1200" b="0">
            <a:solidFill>
              <a:schemeClr val="accent1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283249</xdr:colOff>
      <xdr:row>25</xdr:row>
      <xdr:rowOff>121612</xdr:rowOff>
    </xdr:from>
    <xdr:to>
      <xdr:col>1</xdr:col>
      <xdr:colOff>68507</xdr:colOff>
      <xdr:row>28</xdr:row>
      <xdr:rowOff>75430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EF91B043-C4BA-435D-B829-3C5FFBD71BE7}"/>
            </a:ext>
          </a:extLst>
        </xdr:cNvPr>
        <xdr:cNvSpPr txBox="1"/>
      </xdr:nvSpPr>
      <xdr:spPr>
        <a:xfrm>
          <a:off x="283249" y="4739794"/>
          <a:ext cx="685803" cy="508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200" b="0">
              <a:solidFill>
                <a:srgbClr val="0070C0"/>
              </a:solidFill>
            </a:rPr>
            <a:t>●</a:t>
          </a:r>
          <a:r>
            <a:rPr lang="es-PE" sz="1200" b="0">
              <a:solidFill>
                <a:schemeClr val="accent1">
                  <a:lumMod val="50000"/>
                </a:schemeClr>
              </a:solidFill>
            </a:rPr>
            <a:t>2023</a:t>
          </a:r>
        </a:p>
        <a:p>
          <a:r>
            <a:rPr lang="es-PE" sz="1100" b="0">
              <a:solidFill>
                <a:schemeClr val="accent2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es-PE" sz="1200" b="0">
              <a:solidFill>
                <a:schemeClr val="accent1">
                  <a:lumMod val="50000"/>
                </a:schemeClr>
              </a:solidFill>
            </a:rPr>
            <a:t>2024</a:t>
          </a:r>
        </a:p>
        <a:p>
          <a:endParaRPr lang="es-PE" sz="1200" b="0">
            <a:solidFill>
              <a:schemeClr val="accent1">
                <a:lumMod val="50000"/>
              </a:schemeClr>
            </a:solidFill>
          </a:endParaRPr>
        </a:p>
      </xdr:txBody>
    </xdr:sp>
    <xdr:clientData/>
  </xdr:twoCellAnchor>
  <xdr:twoCellAnchor>
    <xdr:from>
      <xdr:col>6</xdr:col>
      <xdr:colOff>170145</xdr:colOff>
      <xdr:row>9</xdr:row>
      <xdr:rowOff>147670</xdr:rowOff>
    </xdr:from>
    <xdr:to>
      <xdr:col>7</xdr:col>
      <xdr:colOff>1564106</xdr:colOff>
      <xdr:row>22</xdr:row>
      <xdr:rowOff>97939</xdr:rowOff>
    </xdr:to>
    <xdr:sp macro="" textlink="">
      <xdr:nvSpPr>
        <xdr:cNvPr id="15" name="Rectángulo: esquinas redondeadas 14">
          <a:extLst>
            <a:ext uri="{FF2B5EF4-FFF2-40B4-BE49-F238E27FC236}">
              <a16:creationId xmlns:a16="http://schemas.microsoft.com/office/drawing/2014/main" id="{E9E69AE8-4349-4039-98F5-8829AFC39A79}"/>
            </a:ext>
          </a:extLst>
        </xdr:cNvPr>
        <xdr:cNvSpPr/>
      </xdr:nvSpPr>
      <xdr:spPr>
        <a:xfrm>
          <a:off x="6684316" y="1820353"/>
          <a:ext cx="2639180" cy="2366366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1694144</xdr:colOff>
      <xdr:row>9</xdr:row>
      <xdr:rowOff>147671</xdr:rowOff>
    </xdr:from>
    <xdr:to>
      <xdr:col>9</xdr:col>
      <xdr:colOff>609600</xdr:colOff>
      <xdr:row>22</xdr:row>
      <xdr:rowOff>97940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DE2B7A1-E9D7-451F-BEFF-F538D54486F5}"/>
            </a:ext>
          </a:extLst>
        </xdr:cNvPr>
        <xdr:cNvSpPr/>
      </xdr:nvSpPr>
      <xdr:spPr>
        <a:xfrm>
          <a:off x="9452689" y="1810216"/>
          <a:ext cx="2602305" cy="2351724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168443</xdr:colOff>
      <xdr:row>10</xdr:row>
      <xdr:rowOff>8279</xdr:rowOff>
    </xdr:from>
    <xdr:to>
      <xdr:col>7</xdr:col>
      <xdr:colOff>1554789</xdr:colOff>
      <xdr:row>22</xdr:row>
      <xdr:rowOff>135965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C001E809-0748-4397-9982-EFBC7AB93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332734</xdr:colOff>
      <xdr:row>10</xdr:row>
      <xdr:rowOff>2878</xdr:rowOff>
    </xdr:from>
    <xdr:to>
      <xdr:col>6</xdr:col>
      <xdr:colOff>954506</xdr:colOff>
      <xdr:row>11</xdr:row>
      <xdr:rowOff>181843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DABAE2D4-FF5E-41AA-A342-A01435734829}"/>
            </a:ext>
          </a:extLst>
        </xdr:cNvPr>
        <xdr:cNvSpPr txBox="1"/>
      </xdr:nvSpPr>
      <xdr:spPr>
        <a:xfrm>
          <a:off x="6846905" y="1861415"/>
          <a:ext cx="621772" cy="3648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600" b="1">
              <a:solidFill>
                <a:schemeClr val="accent1">
                  <a:lumMod val="50000"/>
                </a:schemeClr>
              </a:solidFill>
              <a:latin typeface="Monotype Corsiva" panose="03010101010201010101" pitchFamily="66" charset="0"/>
            </a:rPr>
            <a:t>Área</a:t>
          </a:r>
        </a:p>
      </xdr:txBody>
    </xdr:sp>
    <xdr:clientData/>
  </xdr:twoCellAnchor>
  <xdr:twoCellAnchor>
    <xdr:from>
      <xdr:col>7</xdr:col>
      <xdr:colOff>395544</xdr:colOff>
      <xdr:row>9</xdr:row>
      <xdr:rowOff>159379</xdr:rowOff>
    </xdr:from>
    <xdr:to>
      <xdr:col>7</xdr:col>
      <xdr:colOff>1379621</xdr:colOff>
      <xdr:row>12</xdr:row>
      <xdr:rowOff>113198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89D9C224-8D73-4268-AA08-7422E5732BC9}"/>
            </a:ext>
          </a:extLst>
        </xdr:cNvPr>
        <xdr:cNvSpPr txBox="1"/>
      </xdr:nvSpPr>
      <xdr:spPr>
        <a:xfrm>
          <a:off x="8154934" y="1832062"/>
          <a:ext cx="984077" cy="5113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200" b="0">
              <a:solidFill>
                <a:srgbClr val="0070C0"/>
              </a:solidFill>
            </a:rPr>
            <a:t>●</a:t>
          </a:r>
          <a:r>
            <a:rPr lang="es-PE" sz="1200" b="0">
              <a:solidFill>
                <a:schemeClr val="accent1">
                  <a:lumMod val="50000"/>
                </a:schemeClr>
              </a:solidFill>
            </a:rPr>
            <a:t>Aprobado</a:t>
          </a:r>
        </a:p>
        <a:p>
          <a:r>
            <a:rPr lang="es-PE" sz="1100" b="0">
              <a:solidFill>
                <a:schemeClr val="accent2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es-PE" sz="1200" b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Ejecutado</a:t>
          </a:r>
          <a:endParaRPr lang="es-PE" sz="1200" b="0">
            <a:solidFill>
              <a:schemeClr val="accent1">
                <a:lumMod val="50000"/>
              </a:schemeClr>
            </a:solidFill>
          </a:endParaRPr>
        </a:p>
        <a:p>
          <a:endParaRPr lang="es-PE" sz="1200" b="0">
            <a:solidFill>
              <a:schemeClr val="accent1">
                <a:lumMod val="50000"/>
              </a:schemeClr>
            </a:solidFill>
          </a:endParaRPr>
        </a:p>
      </xdr:txBody>
    </xdr:sp>
    <xdr:clientData/>
  </xdr:twoCellAnchor>
  <xdr:twoCellAnchor>
    <xdr:from>
      <xdr:col>7</xdr:col>
      <xdr:colOff>1692442</xdr:colOff>
      <xdr:row>11</xdr:row>
      <xdr:rowOff>168048</xdr:rowOff>
    </xdr:from>
    <xdr:to>
      <xdr:col>9</xdr:col>
      <xdr:colOff>641684</xdr:colOff>
      <xdr:row>22</xdr:row>
      <xdr:rowOff>152007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871EA354-502E-47E4-8911-E4AF36D28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60017</xdr:colOff>
      <xdr:row>9</xdr:row>
      <xdr:rowOff>180710</xdr:rowOff>
    </xdr:from>
    <xdr:to>
      <xdr:col>9</xdr:col>
      <xdr:colOff>457200</xdr:colOff>
      <xdr:row>13</xdr:row>
      <xdr:rowOff>6257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B9754C5B-5315-4350-8C58-15A474319ED1}"/>
            </a:ext>
          </a:extLst>
        </xdr:cNvPr>
        <xdr:cNvSpPr txBox="1"/>
      </xdr:nvSpPr>
      <xdr:spPr>
        <a:xfrm>
          <a:off x="9622188" y="1853393"/>
          <a:ext cx="2274305" cy="5689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600" b="1">
              <a:solidFill>
                <a:schemeClr val="accent1">
                  <a:lumMod val="50000"/>
                </a:schemeClr>
              </a:solidFill>
              <a:latin typeface="Monotype Corsiva" panose="03010101010201010101" pitchFamily="66" charset="0"/>
            </a:rPr>
            <a:t>Presupuesto ejecutado por provedor</a:t>
          </a:r>
        </a:p>
      </xdr:txBody>
    </xdr:sp>
    <xdr:clientData/>
  </xdr:twoCellAnchor>
  <xdr:twoCellAnchor>
    <xdr:from>
      <xdr:col>9</xdr:col>
      <xdr:colOff>609600</xdr:colOff>
      <xdr:row>1</xdr:row>
      <xdr:rowOff>22860</xdr:rowOff>
    </xdr:from>
    <xdr:to>
      <xdr:col>10</xdr:col>
      <xdr:colOff>978600</xdr:colOff>
      <xdr:row>3</xdr:row>
      <xdr:rowOff>17100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F276E5BD-7426-4E96-87BE-4D34A4FC121F}"/>
            </a:ext>
          </a:extLst>
        </xdr:cNvPr>
        <xdr:cNvSpPr txBox="1"/>
      </xdr:nvSpPr>
      <xdr:spPr>
        <a:xfrm>
          <a:off x="12054840" y="205740"/>
          <a:ext cx="1512000" cy="36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200">
              <a:solidFill>
                <a:srgbClr val="00FFFF"/>
              </a:solidFill>
            </a:rPr>
            <a:t>●</a:t>
          </a:r>
          <a:r>
            <a:rPr lang="es-PE" sz="1200">
              <a:solidFill>
                <a:schemeClr val="bg1"/>
              </a:solidFill>
            </a:rPr>
            <a:t> Filtro</a:t>
          </a:r>
          <a:r>
            <a:rPr lang="es-PE" sz="1200" baseline="0">
              <a:solidFill>
                <a:schemeClr val="bg1"/>
              </a:solidFill>
            </a:rPr>
            <a:t> por Año</a:t>
          </a:r>
          <a:endParaRPr lang="es-PE" sz="12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718185</xdr:colOff>
      <xdr:row>5</xdr:row>
      <xdr:rowOff>117067</xdr:rowOff>
    </xdr:from>
    <xdr:to>
      <xdr:col>10</xdr:col>
      <xdr:colOff>1396365</xdr:colOff>
      <xdr:row>13</xdr:row>
      <xdr:rowOff>99060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C8F476BF-9C00-4445-B711-33F380C99E76}"/>
            </a:ext>
          </a:extLst>
        </xdr:cNvPr>
        <xdr:cNvSpPr/>
      </xdr:nvSpPr>
      <xdr:spPr>
        <a:xfrm>
          <a:off x="12163425" y="1031467"/>
          <a:ext cx="1821180" cy="1445033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9</xdr:col>
      <xdr:colOff>718185</xdr:colOff>
      <xdr:row>14</xdr:row>
      <xdr:rowOff>86587</xdr:rowOff>
    </xdr:from>
    <xdr:to>
      <xdr:col>10</xdr:col>
      <xdr:colOff>1396365</xdr:colOff>
      <xdr:row>22</xdr:row>
      <xdr:rowOff>68580</xdr:rowOff>
    </xdr:to>
    <xdr:sp macro="" textlink="">
      <xdr:nvSpPr>
        <xdr:cNvPr id="11" name="Rectángulo: esquinas redondeadas 10">
          <a:extLst>
            <a:ext uri="{FF2B5EF4-FFF2-40B4-BE49-F238E27FC236}">
              <a16:creationId xmlns:a16="http://schemas.microsoft.com/office/drawing/2014/main" id="{A4703BB2-838F-4D06-A2FB-89030E38894C}"/>
            </a:ext>
          </a:extLst>
        </xdr:cNvPr>
        <xdr:cNvSpPr/>
      </xdr:nvSpPr>
      <xdr:spPr>
        <a:xfrm>
          <a:off x="12163425" y="2646907"/>
          <a:ext cx="1821180" cy="1445033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269768</xdr:colOff>
      <xdr:row>24</xdr:row>
      <xdr:rowOff>62793</xdr:rowOff>
    </xdr:from>
    <xdr:to>
      <xdr:col>7</xdr:col>
      <xdr:colOff>1447800</xdr:colOff>
      <xdr:row>26</xdr:row>
      <xdr:rowOff>55904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4F246757-004E-43A0-82F5-ABCEA464F5E1}"/>
            </a:ext>
          </a:extLst>
        </xdr:cNvPr>
        <xdr:cNvSpPr txBox="1"/>
      </xdr:nvSpPr>
      <xdr:spPr>
        <a:xfrm>
          <a:off x="6792488" y="4451913"/>
          <a:ext cx="2420092" cy="3588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600" b="1">
              <a:solidFill>
                <a:schemeClr val="accent1">
                  <a:lumMod val="50000"/>
                </a:schemeClr>
              </a:solidFill>
              <a:latin typeface="Monotype Corsiva" panose="03010101010201010101" pitchFamily="66" charset="0"/>
            </a:rPr>
            <a:t>Proyección</a:t>
          </a:r>
          <a:r>
            <a:rPr lang="es-PE" sz="1600" b="1" baseline="0">
              <a:solidFill>
                <a:schemeClr val="accent1">
                  <a:lumMod val="50000"/>
                </a:schemeClr>
              </a:solidFill>
              <a:latin typeface="Monotype Corsiva" panose="03010101010201010101" pitchFamily="66" charset="0"/>
            </a:rPr>
            <a:t> de los pagos</a:t>
          </a:r>
          <a:endParaRPr lang="es-PE" sz="1600" b="1">
            <a:solidFill>
              <a:schemeClr val="accent1">
                <a:lumMod val="50000"/>
              </a:schemeClr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9</xdr:col>
      <xdr:colOff>737616</xdr:colOff>
      <xdr:row>11</xdr:row>
      <xdr:rowOff>10127</xdr:rowOff>
    </xdr:from>
    <xdr:to>
      <xdr:col>10</xdr:col>
      <xdr:colOff>1341120</xdr:colOff>
      <xdr:row>13</xdr:row>
      <xdr:rowOff>144780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272FB33E-D48A-43CF-8596-3D130AD25A91}"/>
            </a:ext>
          </a:extLst>
        </xdr:cNvPr>
        <xdr:cNvSpPr txBox="1"/>
      </xdr:nvSpPr>
      <xdr:spPr>
        <a:xfrm>
          <a:off x="12182856" y="2021807"/>
          <a:ext cx="1746504" cy="5004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400" baseline="0">
              <a:latin typeface="Monotype Corsiva" panose="03010101010201010101" pitchFamily="66" charset="0"/>
            </a:rPr>
            <a:t>Avance proyectos aprobados</a:t>
          </a:r>
        </a:p>
        <a:p>
          <a:endParaRPr lang="es-PE" sz="1400"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6</xdr:col>
      <xdr:colOff>53340</xdr:colOff>
      <xdr:row>25</xdr:row>
      <xdr:rowOff>0</xdr:rowOff>
    </xdr:from>
    <xdr:to>
      <xdr:col>9</xdr:col>
      <xdr:colOff>662940</xdr:colOff>
      <xdr:row>37</xdr:row>
      <xdr:rowOff>7620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F571F063-1E74-49E2-8069-8E608AB7F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1731049</xdr:colOff>
      <xdr:row>25</xdr:row>
      <xdr:rowOff>154</xdr:rowOff>
    </xdr:from>
    <xdr:to>
      <xdr:col>9</xdr:col>
      <xdr:colOff>540947</xdr:colOff>
      <xdr:row>27</xdr:row>
      <xdr:rowOff>136852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DA47CB5F-937D-4936-AF77-5F37CD765E10}"/>
            </a:ext>
          </a:extLst>
        </xdr:cNvPr>
        <xdr:cNvSpPr txBox="1"/>
      </xdr:nvSpPr>
      <xdr:spPr>
        <a:xfrm>
          <a:off x="11301769" y="4572154"/>
          <a:ext cx="684418" cy="502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200" b="0">
              <a:solidFill>
                <a:srgbClr val="0070C0"/>
              </a:solidFill>
            </a:rPr>
            <a:t>●</a:t>
          </a:r>
          <a:r>
            <a:rPr lang="es-PE" sz="1200" b="0">
              <a:solidFill>
                <a:schemeClr val="accent1">
                  <a:lumMod val="50000"/>
                </a:schemeClr>
              </a:solidFill>
            </a:rPr>
            <a:t>2023</a:t>
          </a:r>
        </a:p>
        <a:p>
          <a:r>
            <a:rPr lang="es-PE" sz="1100" b="0">
              <a:solidFill>
                <a:schemeClr val="accent2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es-PE" sz="1200" b="0">
              <a:solidFill>
                <a:schemeClr val="accent1">
                  <a:lumMod val="50000"/>
                </a:schemeClr>
              </a:solidFill>
            </a:rPr>
            <a:t>2024</a:t>
          </a:r>
        </a:p>
        <a:p>
          <a:endParaRPr lang="es-PE" sz="1200" b="0">
            <a:solidFill>
              <a:schemeClr val="accent1">
                <a:lumMod val="50000"/>
              </a:schemeClr>
            </a:solidFill>
          </a:endParaRPr>
        </a:p>
      </xdr:txBody>
    </xdr:sp>
    <xdr:clientData/>
  </xdr:twoCellAnchor>
  <xdr:twoCellAnchor>
    <xdr:from>
      <xdr:col>9</xdr:col>
      <xdr:colOff>798576</xdr:colOff>
      <xdr:row>19</xdr:row>
      <xdr:rowOff>170147</xdr:rowOff>
    </xdr:from>
    <xdr:to>
      <xdr:col>10</xdr:col>
      <xdr:colOff>1402080</xdr:colOff>
      <xdr:row>22</xdr:row>
      <xdr:rowOff>152400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9B21F992-62F1-4AFB-BCCA-03D3688C27A1}"/>
            </a:ext>
          </a:extLst>
        </xdr:cNvPr>
        <xdr:cNvSpPr txBox="1"/>
      </xdr:nvSpPr>
      <xdr:spPr>
        <a:xfrm>
          <a:off x="12243816" y="3644867"/>
          <a:ext cx="1746504" cy="5308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400" baseline="0">
              <a:latin typeface="Monotype Corsiva" panose="03010101010201010101" pitchFamily="66" charset="0"/>
            </a:rPr>
            <a:t>Avance proyectos en proceso</a:t>
          </a:r>
        </a:p>
        <a:p>
          <a:endParaRPr lang="es-PE" sz="1400"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9</xdr:col>
      <xdr:colOff>914400</xdr:colOff>
      <xdr:row>14</xdr:row>
      <xdr:rowOff>45720</xdr:rowOff>
    </xdr:from>
    <xdr:to>
      <xdr:col>10</xdr:col>
      <xdr:colOff>1234440</xdr:colOff>
      <xdr:row>20</xdr:row>
      <xdr:rowOff>53340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2E8BCEA2-CDF1-44D9-8E7A-B3680F245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26401</xdr:colOff>
      <xdr:row>15</xdr:row>
      <xdr:rowOff>116840</xdr:rowOff>
    </xdr:from>
    <xdr:to>
      <xdr:col>10</xdr:col>
      <xdr:colOff>984981</xdr:colOff>
      <xdr:row>18</xdr:row>
      <xdr:rowOff>163022</xdr:rowOff>
    </xdr:to>
    <xdr:sp macro="" textlink="Tablas!$V$29">
      <xdr:nvSpPr>
        <xdr:cNvPr id="56" name="CuadroTexto 55">
          <a:extLst>
            <a:ext uri="{FF2B5EF4-FFF2-40B4-BE49-F238E27FC236}">
              <a16:creationId xmlns:a16="http://schemas.microsoft.com/office/drawing/2014/main" id="{FC02C3B4-404A-4E09-9A38-6F3E20C1979B}"/>
            </a:ext>
          </a:extLst>
        </xdr:cNvPr>
        <xdr:cNvSpPr txBox="1"/>
      </xdr:nvSpPr>
      <xdr:spPr>
        <a:xfrm>
          <a:off x="12614641" y="2860040"/>
          <a:ext cx="958580" cy="594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B8804177-8F35-431E-853A-A5AD8D4BCEC3}" type="TxLink">
            <a:rPr lang="en-US" sz="1800" b="1" i="0" u="none" strike="noStrike">
              <a:solidFill>
                <a:srgbClr val="002060"/>
              </a:solidFill>
              <a:latin typeface="Calibri"/>
              <a:ea typeface="+mn-ea"/>
              <a:cs typeface="Calibri"/>
            </a:rPr>
            <a:pPr marL="0" indent="0" algn="ctr"/>
            <a:t>79%</a:t>
          </a:fld>
          <a:endParaRPr lang="es-PE" sz="4000" b="1" i="0" u="none" strike="noStrike">
            <a:solidFill>
              <a:srgbClr val="002060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9</xdr:col>
      <xdr:colOff>1021080</xdr:colOff>
      <xdr:row>5</xdr:row>
      <xdr:rowOff>60960</xdr:rowOff>
    </xdr:from>
    <xdr:to>
      <xdr:col>10</xdr:col>
      <xdr:colOff>1074420</xdr:colOff>
      <xdr:row>11</xdr:row>
      <xdr:rowOff>106680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F178B235-1B34-479F-A178-156636528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1123681</xdr:colOff>
      <xdr:row>6</xdr:row>
      <xdr:rowOff>147320</xdr:rowOff>
    </xdr:from>
    <xdr:to>
      <xdr:col>10</xdr:col>
      <xdr:colOff>939261</xdr:colOff>
      <xdr:row>10</xdr:row>
      <xdr:rowOff>10622</xdr:rowOff>
    </xdr:to>
    <xdr:sp macro="" textlink="Tablas!X19">
      <xdr:nvSpPr>
        <xdr:cNvPr id="59" name="CuadroTexto 58">
          <a:extLst>
            <a:ext uri="{FF2B5EF4-FFF2-40B4-BE49-F238E27FC236}">
              <a16:creationId xmlns:a16="http://schemas.microsoft.com/office/drawing/2014/main" id="{5F8E0EBB-0A02-4711-85F0-054F302BE86A}"/>
            </a:ext>
          </a:extLst>
        </xdr:cNvPr>
        <xdr:cNvSpPr txBox="1"/>
      </xdr:nvSpPr>
      <xdr:spPr>
        <a:xfrm>
          <a:off x="12568921" y="1244600"/>
          <a:ext cx="958580" cy="594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823AA1-819D-4C34-88A6-7EF3629D953E}" type="TxLink">
            <a:rPr lang="en-US" sz="1800" b="1" i="0" u="none" strike="noStrike">
              <a:solidFill>
                <a:srgbClr val="002060"/>
              </a:solidFill>
              <a:latin typeface="Calibri"/>
              <a:ea typeface="+mn-ea"/>
              <a:cs typeface="Calibri"/>
            </a:rPr>
            <a:pPr marL="0" indent="0" algn="ctr"/>
            <a:t>62%</a:t>
          </a:fld>
          <a:endParaRPr lang="es-PE" sz="3200" b="1" i="0" u="none" strike="noStrike">
            <a:solidFill>
              <a:srgbClr val="002060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569296</xdr:colOff>
      <xdr:row>23</xdr:row>
      <xdr:rowOff>94207</xdr:rowOff>
    </xdr:from>
    <xdr:to>
      <xdr:col>12</xdr:col>
      <xdr:colOff>660648</xdr:colOff>
      <xdr:row>28</xdr:row>
      <xdr:rowOff>121920</xdr:rowOff>
    </xdr:to>
    <xdr:sp macro="" textlink="">
      <xdr:nvSpPr>
        <xdr:cNvPr id="60" name="Rectángulo: esquinas redondeadas 59">
          <a:extLst>
            <a:ext uri="{FF2B5EF4-FFF2-40B4-BE49-F238E27FC236}">
              <a16:creationId xmlns:a16="http://schemas.microsoft.com/office/drawing/2014/main" id="{CEB3FC98-4318-441D-BDFA-F32FCEFF65A5}"/>
            </a:ext>
          </a:extLst>
        </xdr:cNvPr>
        <xdr:cNvSpPr/>
      </xdr:nvSpPr>
      <xdr:spPr>
        <a:xfrm>
          <a:off x="14828330" y="4324621"/>
          <a:ext cx="1825559" cy="947368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558201</xdr:colOff>
      <xdr:row>23</xdr:row>
      <xdr:rowOff>99059</xdr:rowOff>
    </xdr:from>
    <xdr:to>
      <xdr:col>12</xdr:col>
      <xdr:colOff>649976</xdr:colOff>
      <xdr:row>26</xdr:row>
      <xdr:rowOff>30480</xdr:rowOff>
    </xdr:to>
    <xdr:sp macro="" textlink="">
      <xdr:nvSpPr>
        <xdr:cNvPr id="65" name="Rectángulo: esquinas redondeadas 64">
          <a:extLst>
            <a:ext uri="{FF2B5EF4-FFF2-40B4-BE49-F238E27FC236}">
              <a16:creationId xmlns:a16="http://schemas.microsoft.com/office/drawing/2014/main" id="{22C77D3F-2FB0-42B7-9299-E18D03E237E4}"/>
            </a:ext>
          </a:extLst>
        </xdr:cNvPr>
        <xdr:cNvSpPr/>
      </xdr:nvSpPr>
      <xdr:spPr>
        <a:xfrm>
          <a:off x="14817235" y="4329473"/>
          <a:ext cx="1825982" cy="483214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accent5">
              <a:lumMod val="20000"/>
              <a:lumOff val="8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440245</xdr:colOff>
      <xdr:row>25</xdr:row>
      <xdr:rowOff>124460</xdr:rowOff>
    </xdr:from>
    <xdr:to>
      <xdr:col>11</xdr:col>
      <xdr:colOff>1403204</xdr:colOff>
      <xdr:row>28</xdr:row>
      <xdr:rowOff>170642</xdr:rowOff>
    </xdr:to>
    <xdr:sp macro="" textlink="Tablas!M21">
      <xdr:nvSpPr>
        <xdr:cNvPr id="62" name="CuadroTexto 61">
          <a:extLst>
            <a:ext uri="{FF2B5EF4-FFF2-40B4-BE49-F238E27FC236}">
              <a16:creationId xmlns:a16="http://schemas.microsoft.com/office/drawing/2014/main" id="{C0F38F90-8E3B-4000-8995-3C7574D14BE0}"/>
            </a:ext>
          </a:extLst>
        </xdr:cNvPr>
        <xdr:cNvSpPr txBox="1"/>
      </xdr:nvSpPr>
      <xdr:spPr>
        <a:xfrm>
          <a:off x="14699279" y="4722736"/>
          <a:ext cx="962959" cy="597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7DAAF824-16D4-4DED-8D93-622BA335D7E6}" type="TxLink">
            <a:rPr lang="en-US" sz="1800" b="1" i="0" u="none" strike="noStrike">
              <a:solidFill>
                <a:srgbClr val="002060"/>
              </a:solidFill>
              <a:latin typeface="Calibri"/>
              <a:ea typeface="+mn-ea"/>
              <a:cs typeface="Calibri"/>
            </a:rPr>
            <a:pPr marL="0" indent="0" algn="ctr"/>
            <a:t>12</a:t>
          </a:fld>
          <a:endParaRPr lang="es-PE" sz="1800" b="1" i="0" u="none" strike="noStrike">
            <a:solidFill>
              <a:srgbClr val="002060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958404</xdr:colOff>
      <xdr:row>25</xdr:row>
      <xdr:rowOff>116840</xdr:rowOff>
    </xdr:from>
    <xdr:to>
      <xdr:col>12</xdr:col>
      <xdr:colOff>840475</xdr:colOff>
      <xdr:row>28</xdr:row>
      <xdr:rowOff>163022</xdr:rowOff>
    </xdr:to>
    <xdr:sp macro="" textlink="Tablas!N21">
      <xdr:nvSpPr>
        <xdr:cNvPr id="63" name="CuadroTexto 62">
          <a:extLst>
            <a:ext uri="{FF2B5EF4-FFF2-40B4-BE49-F238E27FC236}">
              <a16:creationId xmlns:a16="http://schemas.microsoft.com/office/drawing/2014/main" id="{19D0C4AC-B50A-4FF6-8756-D74C0B762200}"/>
            </a:ext>
          </a:extLst>
        </xdr:cNvPr>
        <xdr:cNvSpPr txBox="1"/>
      </xdr:nvSpPr>
      <xdr:spPr>
        <a:xfrm>
          <a:off x="15217438" y="4715116"/>
          <a:ext cx="1616278" cy="597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6F211549-FCE6-4477-B9D8-59E0F80A334B}" type="TxLink">
            <a:rPr lang="en-US" sz="1800" b="1" i="0" u="none" strike="noStrike">
              <a:solidFill>
                <a:srgbClr val="002060"/>
              </a:solidFill>
              <a:latin typeface="Calibri"/>
              <a:ea typeface="+mn-ea"/>
              <a:cs typeface="Calibri"/>
            </a:rPr>
            <a:pPr marL="0" indent="0" algn="ctr"/>
            <a:t> S/ 96,065 </a:t>
          </a:fld>
          <a:endParaRPr lang="es-PE" sz="1800" b="1" i="0" u="none" strike="noStrike">
            <a:solidFill>
              <a:srgbClr val="002060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595200</xdr:colOff>
      <xdr:row>24</xdr:row>
      <xdr:rowOff>48227</xdr:rowOff>
    </xdr:from>
    <xdr:to>
      <xdr:col>12</xdr:col>
      <xdr:colOff>589016</xdr:colOff>
      <xdr:row>26</xdr:row>
      <xdr:rowOff>83820</xdr:rowOff>
    </xdr:to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id="{113AD789-D2A6-4536-9C87-81C69262E86E}"/>
            </a:ext>
          </a:extLst>
        </xdr:cNvPr>
        <xdr:cNvSpPr txBox="1"/>
      </xdr:nvSpPr>
      <xdr:spPr>
        <a:xfrm>
          <a:off x="14854234" y="4462572"/>
          <a:ext cx="1728023" cy="4034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600">
              <a:latin typeface="Monotype Corsiva" panose="03010101010201010101" pitchFamily="66" charset="0"/>
            </a:rPr>
            <a:t>Proyectos</a:t>
          </a:r>
          <a:r>
            <a:rPr lang="es-PE" sz="1600" baseline="0">
              <a:latin typeface="Monotype Corsiva" panose="03010101010201010101" pitchFamily="66" charset="0"/>
            </a:rPr>
            <a:t> en proceso</a:t>
          </a:r>
          <a:endParaRPr lang="es-PE" sz="1600"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11</xdr:col>
      <xdr:colOff>1164984</xdr:colOff>
      <xdr:row>26</xdr:row>
      <xdr:rowOff>37419</xdr:rowOff>
    </xdr:from>
    <xdr:to>
      <xdr:col>11</xdr:col>
      <xdr:colOff>1210703</xdr:colOff>
      <xdr:row>28</xdr:row>
      <xdr:rowOff>114299</xdr:rowOff>
    </xdr:to>
    <xdr:sp macro="" textlink="">
      <xdr:nvSpPr>
        <xdr:cNvPr id="66" name="Rectángulo: esquinas redondeadas 65">
          <a:extLst>
            <a:ext uri="{FF2B5EF4-FFF2-40B4-BE49-F238E27FC236}">
              <a16:creationId xmlns:a16="http://schemas.microsoft.com/office/drawing/2014/main" id="{1C412823-5899-47B9-B9C7-6A5EDEBDB1E4}"/>
            </a:ext>
          </a:extLst>
        </xdr:cNvPr>
        <xdr:cNvSpPr/>
      </xdr:nvSpPr>
      <xdr:spPr>
        <a:xfrm>
          <a:off x="15424018" y="4819626"/>
          <a:ext cx="45719" cy="444742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accent5">
              <a:lumMod val="20000"/>
              <a:lumOff val="8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0</xdr:col>
      <xdr:colOff>31337</xdr:colOff>
      <xdr:row>25</xdr:row>
      <xdr:rowOff>67827</xdr:rowOff>
    </xdr:from>
    <xdr:to>
      <xdr:col>5</xdr:col>
      <xdr:colOff>1593272</xdr:colOff>
      <xdr:row>36</xdr:row>
      <xdr:rowOff>117523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D0DADDF6-8734-48E7-A028-E74D85DE5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1582615</xdr:colOff>
      <xdr:row>32</xdr:row>
      <xdr:rowOff>97694</xdr:rowOff>
    </xdr:from>
    <xdr:to>
      <xdr:col>13</xdr:col>
      <xdr:colOff>281598</xdr:colOff>
      <xdr:row>47</xdr:row>
      <xdr:rowOff>74002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665DE7B-5F23-4D28-A4A7-457942532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1304925</xdr:colOff>
      <xdr:row>45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Año Proy">
              <a:extLst>
                <a:ext uri="{FF2B5EF4-FFF2-40B4-BE49-F238E27FC236}">
                  <a16:creationId xmlns:a16="http://schemas.microsoft.com/office/drawing/2014/main" id="{7765E280-0D43-49F0-8FA0-AD00E05F46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Proy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0" y="5715000"/>
              <a:ext cx="130492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1704974</xdr:colOff>
      <xdr:row>11</xdr:row>
      <xdr:rowOff>0</xdr:rowOff>
    </xdr:from>
    <xdr:to>
      <xdr:col>13</xdr:col>
      <xdr:colOff>428624</xdr:colOff>
      <xdr:row>25</xdr:row>
      <xdr:rowOff>76200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8D274AC-458B-420C-AE0A-A7E602DFE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1276350</xdr:colOff>
      <xdr:row>24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Año Proy 1">
              <a:extLst>
                <a:ext uri="{FF2B5EF4-FFF2-40B4-BE49-F238E27FC236}">
                  <a16:creationId xmlns:a16="http://schemas.microsoft.com/office/drawing/2014/main" id="{5A9E0459-42E9-4F52-92F4-29E90FD07E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Proy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0" y="1714500"/>
              <a:ext cx="127635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39076</xdr:colOff>
      <xdr:row>10</xdr:row>
      <xdr:rowOff>64476</xdr:rowOff>
    </xdr:from>
    <xdr:to>
      <xdr:col>13</xdr:col>
      <xdr:colOff>449384</xdr:colOff>
      <xdr:row>25</xdr:row>
      <xdr:rowOff>68384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419B3AA-21C6-5C78-5597-E071E833D6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90</xdr:row>
      <xdr:rowOff>47625</xdr:rowOff>
    </xdr:from>
    <xdr:to>
      <xdr:col>2</xdr:col>
      <xdr:colOff>19561</xdr:colOff>
      <xdr:row>99</xdr:row>
      <xdr:rowOff>28812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68DDA9-5D8D-4596-92C2-90BA78656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934825"/>
          <a:ext cx="3658111" cy="16956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52</xdr:row>
      <xdr:rowOff>47625</xdr:rowOff>
    </xdr:from>
    <xdr:to>
      <xdr:col>1</xdr:col>
      <xdr:colOff>905386</xdr:colOff>
      <xdr:row>61</xdr:row>
      <xdr:rowOff>28812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2D7EEC-7E8C-4A8C-A6B5-BC39CD4C9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14601825"/>
          <a:ext cx="3658111" cy="16956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roque/AppData/Local/Microsoft/Windows/INetCache/Content.Outlook/MH3XOAG1/Intereses%20por%20presta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mulador Financiero"/>
      <sheetName val="Data"/>
    </sheetNames>
    <sheetDataSet>
      <sheetData sheetId="0"/>
      <sheetData sheetId="1">
        <row r="1">
          <cell r="A1">
            <v>1</v>
          </cell>
        </row>
        <row r="6">
          <cell r="B6">
            <v>1</v>
          </cell>
          <cell r="C6" t="str">
            <v>Diario</v>
          </cell>
          <cell r="D6">
            <v>1</v>
          </cell>
          <cell r="E6">
            <v>360</v>
          </cell>
          <cell r="F6" t="str">
            <v>dias</v>
          </cell>
        </row>
        <row r="7">
          <cell r="B7">
            <v>2</v>
          </cell>
          <cell r="C7" t="str">
            <v>Semanal</v>
          </cell>
          <cell r="D7">
            <v>7</v>
          </cell>
          <cell r="E7">
            <v>51</v>
          </cell>
          <cell r="F7" t="str">
            <v>semanas</v>
          </cell>
        </row>
        <row r="8">
          <cell r="B8">
            <v>3</v>
          </cell>
          <cell r="C8" t="str">
            <v>Mensual</v>
          </cell>
          <cell r="D8">
            <v>30</v>
          </cell>
          <cell r="E8">
            <v>12</v>
          </cell>
          <cell r="F8" t="str">
            <v>meses</v>
          </cell>
        </row>
        <row r="9">
          <cell r="B9">
            <v>4</v>
          </cell>
          <cell r="C9" t="str">
            <v>Bimestral</v>
          </cell>
          <cell r="D9">
            <v>60</v>
          </cell>
          <cell r="E9">
            <v>6</v>
          </cell>
          <cell r="F9" t="str">
            <v>bimestres</v>
          </cell>
        </row>
        <row r="10">
          <cell r="B10">
            <v>5</v>
          </cell>
          <cell r="C10" t="str">
            <v>Trimestral</v>
          </cell>
          <cell r="D10">
            <v>90</v>
          </cell>
          <cell r="E10">
            <v>4</v>
          </cell>
          <cell r="F10" t="str">
            <v>trimestres</v>
          </cell>
        </row>
        <row r="11">
          <cell r="B11">
            <v>6</v>
          </cell>
          <cell r="C11" t="str">
            <v>Tetramestral</v>
          </cell>
          <cell r="D11">
            <v>120</v>
          </cell>
          <cell r="E11">
            <v>3</v>
          </cell>
          <cell r="F11" t="str">
            <v>tetramestres</v>
          </cell>
        </row>
        <row r="12">
          <cell r="B12">
            <v>7</v>
          </cell>
          <cell r="C12" t="str">
            <v>Semestral</v>
          </cell>
          <cell r="D12">
            <v>180</v>
          </cell>
          <cell r="E12">
            <v>2</v>
          </cell>
          <cell r="F12" t="str">
            <v>semestres</v>
          </cell>
        </row>
        <row r="13">
          <cell r="B13">
            <v>8</v>
          </cell>
          <cell r="C13" t="str">
            <v>Anual</v>
          </cell>
          <cell r="D13">
            <v>360</v>
          </cell>
          <cell r="E13">
            <v>1</v>
          </cell>
        </row>
      </sheetData>
    </sheetDataSet>
  </externalBook>
</externalLink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laniz Andrea Arce Castillo" refreshedDate="45489.531399652777" backgroundQuery="1" createdVersion="8" refreshedVersion="8" minRefreshableVersion="3" recordCount="0" supportSubquery="1" supportAdvancedDrill="1" xr:uid="{BD001BEB-B650-4FA9-B756-728B194149EB}">
  <cacheSource type="external" connectionId="1"/>
  <cacheFields count="5">
    <cacheField name="[Tabla2].[Fecha (mes)].[Fecha (mes)]" caption="Fecha (mes)" numFmtId="0" hierarchy="57" level="1">
      <sharedItems count="4">
        <s v="Jul"/>
        <s v="Ago"/>
        <s v="Set"/>
        <s v="Oct"/>
      </sharedItems>
    </cacheField>
    <cacheField name="[Tabla2].[Estado].[Estado]" caption="Estado" numFmtId="0" hierarchy="50" level="1">
      <sharedItems containsSemiMixedTypes="0" containsNonDate="0" containsString="0"/>
    </cacheField>
    <cacheField name="[Tabla2].[Año Proy].[Año Proy]" caption="Año Proy" numFmtId="0" hierarchy="33" level="1">
      <sharedItems containsSemiMixedTypes="0" containsString="0" containsNumber="1" containsInteger="1" minValue="2023" maxValue="2024" count="2"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Tabla2].[Año Proy].&amp;[2023]"/>
            <x15:cachedUniqueName index="1" name="[Tabla2].[Año Proy].&amp;[2024]"/>
          </x15:cachedUniqueNames>
        </ext>
      </extLst>
    </cacheField>
    <cacheField name="[Tabla2].[Cuenta].[Cuenta]" caption="Cuenta" numFmtId="0" hierarchy="47" level="1">
      <sharedItems containsSemiMixedTypes="0" containsNonDate="0" containsString="0"/>
    </cacheField>
    <cacheField name="[Measures].[Suma de Cuota S/.]" caption="Suma de Cuota S/." numFmtId="0" hierarchy="86" level="32767"/>
  </cacheFields>
  <cacheHierarchies count="87">
    <cacheHierarchy uniqueName="[Tabla1].[Llave]" caption="Llave" attribute="1" defaultMemberUniqueName="[Tabla1].[Llave].[All]" allUniqueName="[Tabla1].[Llave].[All]" dimensionUniqueName="[Tabla1]" displayFolder="" count="0" memberValueDatatype="130" unbalanced="0"/>
    <cacheHierarchy uniqueName="[Tabla1].[ID]" caption="ID" attribute="1" defaultMemberUniqueName="[Tabla1].[ID].[All]" allUniqueName="[Tabla1].[ID].[All]" dimensionUniqueName="[Tabla1]" displayFolder="" count="0" memberValueDatatype="130" unbalanced="0"/>
    <cacheHierarchy uniqueName="[Tabla1].[Proyecto]" caption="Proyecto" attribute="1" defaultMemberUniqueName="[Tabla1].[Proyecto].[All]" allUniqueName="[Tabla1].[Proyecto].[All]" dimensionUniqueName="[Tabla1]" displayFolder="" count="0" memberValueDatatype="130" unbalanced="0"/>
    <cacheHierarchy uniqueName="[Tabla1].[Alcance]" caption="Alcance" attribute="1" defaultMemberUniqueName="[Tabla1].[Alcance].[All]" allUniqueName="[Tabla1].[Alcance].[All]" dimensionUniqueName="[Tabla1]" displayFolder="" count="0" memberValueDatatype="130" unbalanced="0"/>
    <cacheHierarchy uniqueName="[Tabla1].[Área]" caption="Área" attribute="1" defaultMemberUniqueName="[Tabla1].[Área].[All]" allUniqueName="[Tabla1].[Área].[All]" dimensionUniqueName="[Tabla1]" displayFolder="" count="0" memberValueDatatype="130" unbalanced="0"/>
    <cacheHierarchy uniqueName="[Tabla1].[Sub-Área]" caption="Sub-Área" attribute="1" defaultMemberUniqueName="[Tabla1].[Sub-Área].[All]" allUniqueName="[Tabla1].[Sub-Área].[All]" dimensionUniqueName="[Tabla1]" displayFolder="" count="0" memberValueDatatype="130" unbalanced="0"/>
    <cacheHierarchy uniqueName="[Tabla1].[Involucradas]" caption="Involucradas" attribute="1" defaultMemberUniqueName="[Tabla1].[Involucradas].[All]" allUniqueName="[Tabla1].[Involucradas].[All]" dimensionUniqueName="[Tabla1]" displayFolder="" count="0" memberValueDatatype="130" unbalanced="0"/>
    <cacheHierarchy uniqueName="[Tabla1].[Tamaño]" caption="Tamaño" attribute="1" defaultMemberUniqueName="[Tabla1].[Tamaño].[All]" allUniqueName="[Tabla1].[Tamaño].[All]" dimensionUniqueName="[Tabla1]" displayFolder="" count="0" memberValueDatatype="130" unbalanced="0"/>
    <cacheHierarchy uniqueName="[Tabla1].[Puntaje]" caption="Puntaje" attribute="1" defaultMemberUniqueName="[Tabla1].[Puntaje].[All]" allUniqueName="[Tabla1].[Puntaje].[All]" dimensionUniqueName="[Tabla1]" displayFolder="" count="0" memberValueDatatype="20" unbalanced="0"/>
    <cacheHierarchy uniqueName="[Tabla1].[Esfuerzo]" caption="Esfuerzo" attribute="1" defaultMemberUniqueName="[Tabla1].[Esfuerzo].[All]" allUniqueName="[Tabla1].[Esfuerzo].[All]" dimensionUniqueName="[Tabla1]" displayFolder="" count="0" memberValueDatatype="20" unbalanced="0"/>
    <cacheHierarchy uniqueName="[Tabla1].[Líder]" caption="Líder" attribute="1" defaultMemberUniqueName="[Tabla1].[Líder].[All]" allUniqueName="[Tabla1].[Líder].[All]" dimensionUniqueName="[Tabla1]" displayFolder="" count="0" memberValueDatatype="130" unbalanced="0"/>
    <cacheHierarchy uniqueName="[Tabla1].[P.Manager]" caption="P.Manager" attribute="1" defaultMemberUniqueName="[Tabla1].[P.Manager].[All]" allUniqueName="[Tabla1].[P.Manager].[All]" dimensionUniqueName="[Tabla1]" displayFolder="" count="0" memberValueDatatype="130" unbalanced="0"/>
    <cacheHierarchy uniqueName="[Tabla1].[Estado proyecto]" caption="Estado proyecto" attribute="1" defaultMemberUniqueName="[Tabla1].[Estado proyecto].[All]" allUniqueName="[Tabla1].[Estado proyecto].[All]" dimensionUniqueName="[Tabla1]" displayFolder="" count="0" memberValueDatatype="130" unbalanced="0"/>
    <cacheHierarchy uniqueName="[Tabla1].[Proveedor principal]" caption="Proveedor principal" attribute="1" defaultMemberUniqueName="[Tabla1].[Proveedor principal].[All]" allUniqueName="[Tabla1].[Proveedor principal].[All]" dimensionUniqueName="[Tabla1]" displayFolder="" count="0" memberValueDatatype="130" unbalanced="0"/>
    <cacheHierarchy uniqueName="[Tabla1].[SG5]" caption="SG5" attribute="1" defaultMemberUniqueName="[Tabla1].[SG5].[All]" allUniqueName="[Tabla1].[SG5].[All]" dimensionUniqueName="[Tabla1]" displayFolder="" count="0" memberValueDatatype="130" unbalanced="0"/>
    <cacheHierarchy uniqueName="[Tabla1].[CRM]" caption="CRM" attribute="1" defaultMemberUniqueName="[Tabla1].[CRM].[All]" allUniqueName="[Tabla1].[CRM].[All]" dimensionUniqueName="[Tabla1]" displayFolder="" count="0" memberValueDatatype="130" unbalanced="0"/>
    <cacheHierarchy uniqueName="[Tabla1].[Exactus]" caption="Exactus" attribute="1" defaultMemberUniqueName="[Tabla1].[Exactus].[All]" allUniqueName="[Tabla1].[Exactus].[All]" dimensionUniqueName="[Tabla1]" displayFolder="" count="0" memberValueDatatype="130" unbalanced="0"/>
    <cacheHierarchy uniqueName="[Tabla1].[Web]" caption="Web" attribute="1" defaultMemberUniqueName="[Tabla1].[Web].[All]" allUniqueName="[Tabla1].[Web].[All]" dimensionUniqueName="[Tabla1]" displayFolder="" count="0" memberValueDatatype="130" unbalanced="0"/>
    <cacheHierarchy uniqueName="[Tabla1].[Otros]" caption="Otros" attribute="1" defaultMemberUniqueName="[Tabla1].[Otros].[All]" allUniqueName="[Tabla1].[Otros].[All]" dimensionUniqueName="[Tabla1]" displayFolder="" count="0" memberValueDatatype="130" unbalanced="0"/>
    <cacheHierarchy uniqueName="[Tabla1].[Presupuesto S/.]" caption="Presupuesto S/." attribute="1" defaultMemberUniqueName="[Tabla1].[Presupuesto S/.].[All]" allUniqueName="[Tabla1].[Presupuesto S/.].[All]" dimensionUniqueName="[Tabla1]" displayFolder="" count="0" memberValueDatatype="20" unbalanced="0"/>
    <cacheHierarchy uniqueName="[Tabla1].[Aprobado S/.]" caption="Aprobado S/." attribute="1" defaultMemberUniqueName="[Tabla1].[Aprobado S/.].[All]" allUniqueName="[Tabla1].[Aprobado S/.].[All]" dimensionUniqueName="[Tabla1]" displayFolder="" count="0" memberValueDatatype="20" unbalanced="0"/>
    <cacheHierarchy uniqueName="[Tabla1].[% Aprob]" caption="% Aprob" attribute="1" defaultMemberUniqueName="[Tabla1].[% Aprob].[All]" allUniqueName="[Tabla1].[% Aprob].[All]" dimensionUniqueName="[Tabla1]" displayFolder="" count="0" memberValueDatatype="5" unbalanced="0"/>
    <cacheHierarchy uniqueName="[Tabla1].[Ejecutado S/.]" caption="Ejecutado S/." attribute="1" defaultMemberUniqueName="[Tabla1].[Ejecutado S/.].[All]" allUniqueName="[Tabla1].[Ejecutado S/.].[All]" dimensionUniqueName="[Tabla1]" displayFolder="" count="0" memberValueDatatype="20" unbalanced="0"/>
    <cacheHierarchy uniqueName="[Tabla1].[% Ejec]" caption="% Ejec" attribute="1" defaultMemberUniqueName="[Tabla1].[% Ejec].[All]" allUniqueName="[Tabla1].[% Ejec].[All]" dimensionUniqueName="[Tabla1]" displayFolder="" count="0" memberValueDatatype="5" unbalanced="0"/>
    <cacheHierarchy uniqueName="[Tabla1].[Estado presupuesto]" caption="Estado presupuesto" attribute="1" defaultMemberUniqueName="[Tabla1].[Estado presupuesto].[All]" allUniqueName="[Tabla1].[Estado presupuesto].[All]" dimensionUniqueName="[Tabla1]" displayFolder="" count="0" memberValueDatatype="130" unbalanced="0"/>
    <cacheHierarchy uniqueName="[Tabla1].[Fecha aprobación]" caption="Fecha aprobación" attribute="1" time="1" defaultMemberUniqueName="[Tabla1].[Fecha aprobación].[All]" allUniqueName="[Tabla1].[Fecha aprobación].[All]" dimensionUniqueName="[Tabla1]" displayFolder="" count="0" memberValueDatatype="7" unbalanced="0"/>
    <cacheHierarchy uniqueName="[Tabla1].[mm.aa fch aprob]" caption="mm.aa fch aprob" attribute="1" time="1" defaultMemberUniqueName="[Tabla1].[mm.aa fch aprob].[All]" allUniqueName="[Tabla1].[mm.aa fch aprob].[All]" dimensionUniqueName="[Tabla1]" displayFolder="" count="0" memberValueDatatype="7" unbalanced="0"/>
    <cacheHierarchy uniqueName="[Tabla1].[Año Proy]" caption="Año Proy" attribute="1" defaultMemberUniqueName="[Tabla1].[Año Proy].[All]" allUniqueName="[Tabla1].[Año Proy].[All]" dimensionUniqueName="[Tabla1]" displayFolder="" count="0" memberValueDatatype="20" unbalanced="0"/>
    <cacheHierarchy uniqueName="[Tabla1].[Línea de negocio]" caption="Línea de negocio" attribute="1" defaultMemberUniqueName="[Tabla1].[Línea de negocio].[All]" allUniqueName="[Tabla1].[Línea de negocio].[All]" dimensionUniqueName="[Tabla1]" displayFolder="" count="0" memberValueDatatype="130" unbalanced="0"/>
    <cacheHierarchy uniqueName="[Tabla1].[País]" caption="País" attribute="1" defaultMemberUniqueName="[Tabla1].[País].[All]" allUniqueName="[Tabla1].[País].[All]" dimensionUniqueName="[Tabla1]" displayFolder="" count="0" memberValueDatatype="130" unbalanced="0"/>
    <cacheHierarchy uniqueName="[Tabla1].[Fecha aprobación (mes)]" caption="Fecha aprobación (mes)" attribute="1" defaultMemberUniqueName="[Tabla1].[Fecha aprobación (mes)].[All]" allUniqueName="[Tabla1].[Fecha aprobación (mes)].[All]" dimensionUniqueName="[Tabla1]" displayFolder="" count="0" memberValueDatatype="130" unbalanced="0"/>
    <cacheHierarchy uniqueName="[Tabla2].[Llave]" caption="Llave" attribute="1" defaultMemberUniqueName="[Tabla2].[Llave].[All]" allUniqueName="[Tabla2].[Llave].[All]" dimensionUniqueName="[Tabla2]" displayFolder="" count="0" memberValueDatatype="130" unbalanced="0"/>
    <cacheHierarchy uniqueName="[Tabla2].[ID]" caption="ID" attribute="1" defaultMemberUniqueName="[Tabla2].[ID].[All]" allUniqueName="[Tabla2].[ID].[All]" dimensionUniqueName="[Tabla2]" displayFolder="" count="0" memberValueDatatype="130" unbalanced="0"/>
    <cacheHierarchy uniqueName="[Tabla2].[Año Proy]" caption="Año Proy" attribute="1" defaultMemberUniqueName="[Tabla2].[Año Proy].[All]" allUniqueName="[Tabla2].[Año Proy].[All]" dimensionUniqueName="[Tabla2]" displayFolder="" count="2" memberValueDatatype="20" unbalanced="0">
      <fieldsUsage count="2">
        <fieldUsage x="-1"/>
        <fieldUsage x="2"/>
      </fieldsUsage>
    </cacheHierarchy>
    <cacheHierarchy uniqueName="[Tabla2].[Fecha]" caption="Fecha" attribute="1" time="1" defaultMemberUniqueName="[Tabla2].[Fecha].[All]" allUniqueName="[Tabla2].[Fecha].[All]" dimensionUniqueName="[Tabla2]" displayFolder="" count="0" memberValueDatatype="7" unbalanced="0"/>
    <cacheHierarchy uniqueName="[Tabla2].[Proveedor]" caption="Proveedor" attribute="1" defaultMemberUniqueName="[Tabla2].[Proveedor].[All]" allUniqueName="[Tabla2].[Proveedor].[All]" dimensionUniqueName="[Tabla2]" displayFolder="" count="0" memberValueDatatype="130" unbalanced="0"/>
    <cacheHierarchy uniqueName="[Tabla2].[Código]" caption="Código" attribute="1" defaultMemberUniqueName="[Tabla2].[Código].[All]" allUniqueName="[Tabla2].[Código].[All]" dimensionUniqueName="[Tabla2]" displayFolder="" count="0" memberValueDatatype="130" unbalanced="0"/>
    <cacheHierarchy uniqueName="[Tabla2].[Factura]" caption="Factura" attribute="1" defaultMemberUniqueName="[Tabla2].[Factura].[All]" allUniqueName="[Tabla2].[Factura].[All]" dimensionUniqueName="[Tabla2]" displayFolder="" count="0" memberValueDatatype="130" unbalanced="0"/>
    <cacheHierarchy uniqueName="[Tabla2].[Mes aprob]" caption="Mes aprob" attribute="1" time="1" defaultMemberUniqueName="[Tabla2].[Mes aprob].[All]" allUniqueName="[Tabla2].[Mes aprob].[All]" dimensionUniqueName="[Tabla2]" displayFolder="" count="0" memberValueDatatype="7" unbalanced="0"/>
    <cacheHierarchy uniqueName="[Tabla2].[OS]" caption="OS" attribute="1" defaultMemberUniqueName="[Tabla2].[OS].[All]" allUniqueName="[Tabla2].[OS].[All]" dimensionUniqueName="[Tabla2]" displayFolder="" count="0" memberValueDatatype="130" unbalanced="0"/>
    <cacheHierarchy uniqueName="[Tabla2].[Proyecto]" caption="Proyecto" attribute="1" defaultMemberUniqueName="[Tabla2].[Proyecto].[All]" allUniqueName="[Tabla2].[Proyecto].[All]" dimensionUniqueName="[Tabla2]" displayFolder="" count="0" memberValueDatatype="130" unbalanced="0"/>
    <cacheHierarchy uniqueName="[Tabla2].[# Cuota]" caption="# Cuota" attribute="1" defaultMemberUniqueName="[Tabla2].[# Cuota].[All]" allUniqueName="[Tabla2].[# Cuota].[All]" dimensionUniqueName="[Tabla2]" displayFolder="" count="0" memberValueDatatype="20" unbalanced="0"/>
    <cacheHierarchy uniqueName="[Tabla2].[Detalle cuota]" caption="Detalle cuota" attribute="1" defaultMemberUniqueName="[Tabla2].[Detalle cuota].[All]" allUniqueName="[Tabla2].[Detalle cuota].[All]" dimensionUniqueName="[Tabla2]" displayFolder="" count="0" memberValueDatatype="130" unbalanced="0"/>
    <cacheHierarchy uniqueName="[Tabla2].[Cuota]" caption="Cuota" attribute="1" defaultMemberUniqueName="[Tabla2].[Cuota].[All]" allUniqueName="[Tabla2].[Cuota].[All]" dimensionUniqueName="[Tabla2]" displayFolder="" count="0" memberValueDatatype="5" unbalanced="0"/>
    <cacheHierarchy uniqueName="[Tabla2].[Total cuotas]" caption="Total cuotas" attribute="1" defaultMemberUniqueName="[Tabla2].[Total cuotas].[All]" allUniqueName="[Tabla2].[Total cuotas].[All]" dimensionUniqueName="[Tabla2]" displayFolder="" count="0" memberValueDatatype="20" unbalanced="0"/>
    <cacheHierarchy uniqueName="[Tabla2].[Moneda]" caption="Moneda" attribute="1" defaultMemberUniqueName="[Tabla2].[Moneda].[All]" allUniqueName="[Tabla2].[Moneda].[All]" dimensionUniqueName="[Tabla2]" displayFolder="" count="0" memberValueDatatype="130" unbalanced="0"/>
    <cacheHierarchy uniqueName="[Tabla2].[Cuota S/.]" caption="Cuota S/." attribute="1" defaultMemberUniqueName="[Tabla2].[Cuota S/.].[All]" allUniqueName="[Tabla2].[Cuota S/.].[All]" dimensionUniqueName="[Tabla2]" displayFolder="" count="0" memberValueDatatype="5" unbalanced="0"/>
    <cacheHierarchy uniqueName="[Tabla2].[Cuenta]" caption="Cuenta" attribute="1" defaultMemberUniqueName="[Tabla2].[Cuenta].[All]" allUniqueName="[Tabla2].[Cuenta].[All]" dimensionUniqueName="[Tabla2]" displayFolder="" count="2" memberValueDatatype="130" unbalanced="0">
      <fieldsUsage count="2">
        <fieldUsage x="-1"/>
        <fieldUsage x="3"/>
      </fieldsUsage>
    </cacheHierarchy>
    <cacheHierarchy uniqueName="[Tabla2].[País]" caption="País" attribute="1" defaultMemberUniqueName="[Tabla2].[País].[All]" allUniqueName="[Tabla2].[País].[All]" dimensionUniqueName="[Tabla2]" displayFolder="" count="0" memberValueDatatype="130" unbalanced="0"/>
    <cacheHierarchy uniqueName="[Tabla2].[Área]" caption="Área" attribute="1" defaultMemberUniqueName="[Tabla2].[Área].[All]" allUniqueName="[Tabla2].[Área].[All]" dimensionUniqueName="[Tabla2]" displayFolder="" count="0" memberValueDatatype="130" unbalanced="0"/>
    <cacheHierarchy uniqueName="[Tabla2].[Estado]" caption="Estado" attribute="1" defaultMemberUniqueName="[Tabla2].[Estado].[All]" allUniqueName="[Tabla2].[Estado].[All]" dimensionUniqueName="[Tabla2]" displayFolder="" count="2" memberValueDatatype="130" unbalanced="0">
      <fieldsUsage count="2">
        <fieldUsage x="-1"/>
        <fieldUsage x="1"/>
      </fieldsUsage>
    </cacheHierarchy>
    <cacheHierarchy uniqueName="[Tabla2].[F Venc]" caption="F Venc" attribute="1" defaultMemberUniqueName="[Tabla2].[F Venc].[All]" allUniqueName="[Tabla2].[F Venc].[All]" dimensionUniqueName="[Tabla2]" displayFolder="" count="0" memberValueDatatype="130" unbalanced="0"/>
    <cacheHierarchy uniqueName="[Tabla2].[Fecha pago]" caption="Fecha pago" attribute="1" defaultMemberUniqueName="[Tabla2].[Fecha pago].[All]" allUniqueName="[Tabla2].[Fecha pago].[All]" dimensionUniqueName="[Tabla2]" displayFolder="" count="0" memberValueDatatype="130" unbalanced="0"/>
    <cacheHierarchy uniqueName="[Tabla2].[mm.aa]" caption="mm.aa" attribute="1" time="1" defaultMemberUniqueName="[Tabla2].[mm.aa].[All]" allUniqueName="[Tabla2].[mm.aa].[All]" dimensionUniqueName="[Tabla2]" displayFolder="" count="0" memberValueDatatype="7" unbalanced="0"/>
    <cacheHierarchy uniqueName="[Tabla2].[Sistema]" caption="Sistema" attribute="1" defaultMemberUniqueName="[Tabla2].[Sistema].[All]" allUniqueName="[Tabla2].[Sistema].[All]" dimensionUniqueName="[Tabla2]" displayFolder="" count="0" memberValueDatatype="130" unbalanced="0"/>
    <cacheHierarchy uniqueName="[Tabla2].[Fecha (año)]" caption="Fecha (año)" attribute="1" defaultMemberUniqueName="[Tabla2].[Fecha (año)].[All]" allUniqueName="[Tabla2].[Fecha (año)].[All]" dimensionUniqueName="[Tabla2]" displayFolder="" count="0" memberValueDatatype="130" unbalanced="0"/>
    <cacheHierarchy uniqueName="[Tabla2].[Fecha (trimestre)]" caption="Fecha (trimestre)" attribute="1" defaultMemberUniqueName="[Tabla2].[Fecha (trimestre)].[All]" allUniqueName="[Tabla2].[Fecha (trimestre)].[All]" dimensionUniqueName="[Tabla2]" displayFolder="" count="0" memberValueDatatype="130" unbalanced="0"/>
    <cacheHierarchy uniqueName="[Tabla2].[Fecha (mes)]" caption="Fecha (mes)" attribute="1" defaultMemberUniqueName="[Tabla2].[Fecha (mes)].[All]" allUniqueName="[Tabla2].[Fecha (mes)].[All]" dimensionUniqueName="[Tabla2]" displayFolder="" count="2" memberValueDatatype="130" unbalanced="0">
      <fieldsUsage count="2">
        <fieldUsage x="-1"/>
        <fieldUsage x="0"/>
      </fieldsUsage>
    </cacheHierarchy>
    <cacheHierarchy uniqueName="[Tabla2].[mm.aa (año)]" caption="mm.aa (año)" attribute="1" defaultMemberUniqueName="[Tabla2].[mm.aa (año)].[All]" allUniqueName="[Tabla2].[mm.aa (año)].[All]" dimensionUniqueName="[Tabla2]" displayFolder="" count="0" memberValueDatatype="130" unbalanced="0"/>
    <cacheHierarchy uniqueName="[Tabla2].[mm.aa (trimestre)]" caption="mm.aa (trimestre)" attribute="1" defaultMemberUniqueName="[Tabla2].[mm.aa (trimestre)].[All]" allUniqueName="[Tabla2].[mm.aa (trimestre)].[All]" dimensionUniqueName="[Tabla2]" displayFolder="" count="0" memberValueDatatype="130" unbalanced="0"/>
    <cacheHierarchy uniqueName="[Tabla2].[mm.aa (mes)]" caption="mm.aa (mes)" attribute="1" defaultMemberUniqueName="[Tabla2].[mm.aa (mes)].[All]" allUniqueName="[Tabla2].[mm.aa (mes)].[All]" dimensionUniqueName="[Tabla2]" displayFolder="" count="0" memberValueDatatype="130" unbalanced="0"/>
    <cacheHierarchy uniqueName="[Tabla2].[Mes aprob (año)]" caption="Mes aprob (año)" attribute="1" defaultMemberUniqueName="[Tabla2].[Mes aprob (año)].[All]" allUniqueName="[Tabla2].[Mes aprob (año)].[All]" dimensionUniqueName="[Tabla2]" displayFolder="" count="0" memberValueDatatype="130" unbalanced="0"/>
    <cacheHierarchy uniqueName="[Tabla2].[Mes aprob (trimestre)]" caption="Mes aprob (trimestre)" attribute="1" defaultMemberUniqueName="[Tabla2].[Mes aprob (trimestre)].[All]" allUniqueName="[Tabla2].[Mes aprob (trimestre)].[All]" dimensionUniqueName="[Tabla2]" displayFolder="" count="0" memberValueDatatype="130" unbalanced="0"/>
    <cacheHierarchy uniqueName="[Tabla2].[Mes aprob (mes)]" caption="Mes aprob (mes)" attribute="1" defaultMemberUniqueName="[Tabla2].[Mes aprob (mes)].[All]" allUniqueName="[Tabla2].[Mes aprob (mes)].[All]" dimensionUniqueName="[Tabla2]" displayFolder="" count="0" memberValueDatatype="130" unbalanced="0"/>
    <cacheHierarchy uniqueName="[Tabla1].[Fecha aprobación (índice de meses)]" caption="Fecha aprobación (índice de meses)" attribute="1" defaultMemberUniqueName="[Tabla1].[Fecha aprobación (índice de meses)].[All]" allUniqueName="[Tabla1].[Fecha aprobación (índice de meses)].[All]" dimensionUniqueName="[Tabla1]" displayFolder="" count="0" memberValueDatatype="20" unbalanced="0" hidden="1"/>
    <cacheHierarchy uniqueName="[Tabla2].[Fecha (índice de meses)]" caption="Fecha (índice de meses)" attribute="1" defaultMemberUniqueName="[Tabla2].[Fecha (índice de meses)].[All]" allUniqueName="[Tabla2].[Fecha (índice de meses)].[All]" dimensionUniqueName="[Tabla2]" displayFolder="" count="0" memberValueDatatype="20" unbalanced="0" hidden="1"/>
    <cacheHierarchy uniqueName="[Tabla2].[Mes aprob (índice de meses)]" caption="Mes aprob (índice de meses)" attribute="1" defaultMemberUniqueName="[Tabla2].[Mes aprob (índice de meses)].[All]" allUniqueName="[Tabla2].[Mes aprob (índice de meses)].[All]" dimensionUniqueName="[Tabla2]" displayFolder="" count="0" memberValueDatatype="20" unbalanced="0" hidden="1"/>
    <cacheHierarchy uniqueName="[Tabla2].[mm.aa (índice de meses)]" caption="mm.aa (índice de meses)" attribute="1" defaultMemberUniqueName="[Tabla2].[mm.aa (índice de meses)].[All]" allUniqueName="[Tabla2].[mm.aa (índice de meses)].[All]" dimensionUniqueName="[Tabla2]" displayFolder="" count="0" memberValueDatatype="20" unbalanced="0" hidden="1"/>
    <cacheHierarchy uniqueName="[Measures].[__XL_Count Tabla2]" caption="__XL_Count Tabla2" measure="1" displayFolder="" measureGroup="Tabla2" count="0" hidden="1"/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  <cacheHierarchy uniqueName="[Measures].[Suma de Año Proy]" caption="Suma de Año Proy" measure="1" displayFolder="" measureGroup="Tabla2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Recuento de Proyecto]" caption="Recuento de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e SG5]" caption="Recuento de SG5" measure="1" displayFolder="" measureGroup="Tabla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Recuento de CRM]" caption="Recuento de CRM" measure="1" displayFolder="" measureGroup="Tabla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Exactus]" caption="Recuento de Exactus" measure="1" displayFolder="" measureGroup="Tabla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Recuento de Web]" caption="Recuento de Web" measure="1" displayFolder="" measureGroup="Tabla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Recuento de Estado proyecto]" caption="Recuento de Estado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Ejecutado S/.]" caption="Suma de Ejecutado S/." measure="1" displayFolder="" measureGroup="Tabla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Aprobado S/.]" caption="Suma de Aprobado S/." measure="1" displayFolder="" measureGroup="Tabla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Fecha aprobación]" caption="Recuento de Fecha aprobación" measure="1" displayFolder="" measureGroup="Tabla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a de Presupuesto S/.]" caption="Suma de Presupuesto S/." measure="1" displayFolder="" measureGroup="Tabla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Cuota]" caption="Suma de Cuota" measure="1" displayFolder="" measureGroup="Tabla2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de Año Proy 2]" caption="Suma de Año Proy 2" measure="1" displayFolder="" measureGroup="Tabla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de % Aprob]" caption="Suma de % Aprob" measure="1" displayFolder="" measureGroup="Tabla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% Ejec]" caption="Suma de % Ejec" measure="1" displayFolder="" measureGroup="Tabla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de Cuota S/.]" caption="Suma de Cuota S/." measure="1" displayFolder="" measureGroup="Tabla2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</cacheHierarchies>
  <kpis count="0"/>
  <dimensions count="3">
    <dimension measure="1" name="Measures" uniqueName="[Measures]" caption="Measures"/>
    <dimension name="Tabla1" uniqueName="[Tabla1]" caption="Tabla1"/>
    <dimension name="Tabla2" uniqueName="[Tabla2]" caption="Tabla2"/>
  </dimensions>
  <measureGroups count="2">
    <measureGroup name="Tabla1" caption="Tabla1"/>
    <measureGroup name="Tabla2" caption="Tabla2"/>
  </measureGroups>
  <maps count="3">
    <map measureGroup="0" dimension="1"/>
    <map measureGroup="1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laniz Andrea Arce Castillo" refreshedDate="45495.580684490742" backgroundQuery="1" createdVersion="8" refreshedVersion="8" minRefreshableVersion="3" recordCount="0" supportSubquery="1" supportAdvancedDrill="1" xr:uid="{54E99371-CE5F-4971-8149-640C96F7233E}">
  <cacheSource type="external" connectionId="1"/>
  <cacheFields count="4">
    <cacheField name="[Tabla1].[Área].[Área]" caption="Área" numFmtId="0" hierarchy="4" level="1">
      <sharedItems count="5">
        <s v="Adm&amp;Fin"/>
        <s v="Comercial"/>
        <s v="GDH"/>
        <s v="Operaciones"/>
        <s v="SAC&amp;Parque"/>
      </sharedItems>
    </cacheField>
    <cacheField name="[Measures].[Suma de Aprobado S/.]" caption="Suma de Aprobado S/." numFmtId="0" hierarchy="79" level="32767"/>
    <cacheField name="[Measures].[Suma de Ejecutado S/.]" caption="Suma de Ejecutado S/." numFmtId="0" hierarchy="78" level="32767"/>
    <cacheField name="[Tabla1].[Año Proy].[Año Proy]" caption="Año Proy" numFmtId="0" hierarchy="27" level="1">
      <sharedItems containsSemiMixedTypes="0" containsNonDate="0" containsString="0"/>
    </cacheField>
  </cacheFields>
  <cacheHierarchies count="87">
    <cacheHierarchy uniqueName="[Tabla1].[Llave]" caption="Llave" attribute="1" defaultMemberUniqueName="[Tabla1].[Llave].[All]" allUniqueName="[Tabla1].[Llave].[All]" dimensionUniqueName="[Tabla1]" displayFolder="" count="0" memberValueDatatype="130" unbalanced="0"/>
    <cacheHierarchy uniqueName="[Tabla1].[ID]" caption="ID" attribute="1" defaultMemberUniqueName="[Tabla1].[ID].[All]" allUniqueName="[Tabla1].[ID].[All]" dimensionUniqueName="[Tabla1]" displayFolder="" count="0" memberValueDatatype="130" unbalanced="0"/>
    <cacheHierarchy uniqueName="[Tabla1].[Proyecto]" caption="Proyecto" attribute="1" defaultMemberUniqueName="[Tabla1].[Proyecto].[All]" allUniqueName="[Tabla1].[Proyecto].[All]" dimensionUniqueName="[Tabla1]" displayFolder="" count="0" memberValueDatatype="130" unbalanced="0"/>
    <cacheHierarchy uniqueName="[Tabla1].[Alcance]" caption="Alcance" attribute="1" defaultMemberUniqueName="[Tabla1].[Alcance].[All]" allUniqueName="[Tabla1].[Alcance].[All]" dimensionUniqueName="[Tabla1]" displayFolder="" count="0" memberValueDatatype="130" unbalanced="0"/>
    <cacheHierarchy uniqueName="[Tabla1].[Área]" caption="Área" attribute="1" defaultMemberUniqueName="[Tabla1].[Área].[All]" allUniqueName="[Tabla1].[Área].[All]" dimensionUniqueName="[Tabla1]" displayFolder="" count="2" memberValueDatatype="130" unbalanced="0">
      <fieldsUsage count="2">
        <fieldUsage x="-1"/>
        <fieldUsage x="0"/>
      </fieldsUsage>
    </cacheHierarchy>
    <cacheHierarchy uniqueName="[Tabla1].[Sub-Área]" caption="Sub-Área" attribute="1" defaultMemberUniqueName="[Tabla1].[Sub-Área].[All]" allUniqueName="[Tabla1].[Sub-Área].[All]" dimensionUniqueName="[Tabla1]" displayFolder="" count="0" memberValueDatatype="130" unbalanced="0"/>
    <cacheHierarchy uniqueName="[Tabla1].[Involucradas]" caption="Involucradas" attribute="1" defaultMemberUniqueName="[Tabla1].[Involucradas].[All]" allUniqueName="[Tabla1].[Involucradas].[All]" dimensionUniqueName="[Tabla1]" displayFolder="" count="0" memberValueDatatype="130" unbalanced="0"/>
    <cacheHierarchy uniqueName="[Tabla1].[Tamaño]" caption="Tamaño" attribute="1" defaultMemberUniqueName="[Tabla1].[Tamaño].[All]" allUniqueName="[Tabla1].[Tamaño].[All]" dimensionUniqueName="[Tabla1]" displayFolder="" count="0" memberValueDatatype="130" unbalanced="0"/>
    <cacheHierarchy uniqueName="[Tabla1].[Puntaje]" caption="Puntaje" attribute="1" defaultMemberUniqueName="[Tabla1].[Puntaje].[All]" allUniqueName="[Tabla1].[Puntaje].[All]" dimensionUniqueName="[Tabla1]" displayFolder="" count="0" memberValueDatatype="20" unbalanced="0"/>
    <cacheHierarchy uniqueName="[Tabla1].[Esfuerzo]" caption="Esfuerzo" attribute="1" defaultMemberUniqueName="[Tabla1].[Esfuerzo].[All]" allUniqueName="[Tabla1].[Esfuerzo].[All]" dimensionUniqueName="[Tabla1]" displayFolder="" count="0" memberValueDatatype="20" unbalanced="0"/>
    <cacheHierarchy uniqueName="[Tabla1].[Líder]" caption="Líder" attribute="1" defaultMemberUniqueName="[Tabla1].[Líder].[All]" allUniqueName="[Tabla1].[Líder].[All]" dimensionUniqueName="[Tabla1]" displayFolder="" count="0" memberValueDatatype="130" unbalanced="0"/>
    <cacheHierarchy uniqueName="[Tabla1].[P.Manager]" caption="P.Manager" attribute="1" defaultMemberUniqueName="[Tabla1].[P.Manager].[All]" allUniqueName="[Tabla1].[P.Manager].[All]" dimensionUniqueName="[Tabla1]" displayFolder="" count="0" memberValueDatatype="130" unbalanced="0"/>
    <cacheHierarchy uniqueName="[Tabla1].[Estado proyecto]" caption="Estado proyecto" attribute="1" defaultMemberUniqueName="[Tabla1].[Estado proyecto].[All]" allUniqueName="[Tabla1].[Estado proyecto].[All]" dimensionUniqueName="[Tabla1]" displayFolder="" count="0" memberValueDatatype="130" unbalanced="0"/>
    <cacheHierarchy uniqueName="[Tabla1].[Proveedor principal]" caption="Proveedor principal" attribute="1" defaultMemberUniqueName="[Tabla1].[Proveedor principal].[All]" allUniqueName="[Tabla1].[Proveedor principal].[All]" dimensionUniqueName="[Tabla1]" displayFolder="" count="0" memberValueDatatype="130" unbalanced="0"/>
    <cacheHierarchy uniqueName="[Tabla1].[SG5]" caption="SG5" attribute="1" defaultMemberUniqueName="[Tabla1].[SG5].[All]" allUniqueName="[Tabla1].[SG5].[All]" dimensionUniqueName="[Tabla1]" displayFolder="" count="0" memberValueDatatype="130" unbalanced="0"/>
    <cacheHierarchy uniqueName="[Tabla1].[CRM]" caption="CRM" attribute="1" defaultMemberUniqueName="[Tabla1].[CRM].[All]" allUniqueName="[Tabla1].[CRM].[All]" dimensionUniqueName="[Tabla1]" displayFolder="" count="0" memberValueDatatype="130" unbalanced="0"/>
    <cacheHierarchy uniqueName="[Tabla1].[Exactus]" caption="Exactus" attribute="1" defaultMemberUniqueName="[Tabla1].[Exactus].[All]" allUniqueName="[Tabla1].[Exactus].[All]" dimensionUniqueName="[Tabla1]" displayFolder="" count="0" memberValueDatatype="130" unbalanced="0"/>
    <cacheHierarchy uniqueName="[Tabla1].[Web]" caption="Web" attribute="1" defaultMemberUniqueName="[Tabla1].[Web].[All]" allUniqueName="[Tabla1].[Web].[All]" dimensionUniqueName="[Tabla1]" displayFolder="" count="0" memberValueDatatype="130" unbalanced="0"/>
    <cacheHierarchy uniqueName="[Tabla1].[Otros]" caption="Otros" attribute="1" defaultMemberUniqueName="[Tabla1].[Otros].[All]" allUniqueName="[Tabla1].[Otros].[All]" dimensionUniqueName="[Tabla1]" displayFolder="" count="0" memberValueDatatype="130" unbalanced="0"/>
    <cacheHierarchy uniqueName="[Tabla1].[Presupuesto S/.]" caption="Presupuesto S/." attribute="1" defaultMemberUniqueName="[Tabla1].[Presupuesto S/.].[All]" allUniqueName="[Tabla1].[Presupuesto S/.].[All]" dimensionUniqueName="[Tabla1]" displayFolder="" count="0" memberValueDatatype="20" unbalanced="0"/>
    <cacheHierarchy uniqueName="[Tabla1].[Aprobado S/.]" caption="Aprobado S/." attribute="1" defaultMemberUniqueName="[Tabla1].[Aprobado S/.].[All]" allUniqueName="[Tabla1].[Aprobado S/.].[All]" dimensionUniqueName="[Tabla1]" displayFolder="" count="0" memberValueDatatype="20" unbalanced="0"/>
    <cacheHierarchy uniqueName="[Tabla1].[% Aprob]" caption="% Aprob" attribute="1" defaultMemberUniqueName="[Tabla1].[% Aprob].[All]" allUniqueName="[Tabla1].[% Aprob].[All]" dimensionUniqueName="[Tabla1]" displayFolder="" count="0" memberValueDatatype="5" unbalanced="0"/>
    <cacheHierarchy uniqueName="[Tabla1].[Ejecutado S/.]" caption="Ejecutado S/." attribute="1" defaultMemberUniqueName="[Tabla1].[Ejecutado S/.].[All]" allUniqueName="[Tabla1].[Ejecutado S/.].[All]" dimensionUniqueName="[Tabla1]" displayFolder="" count="0" memberValueDatatype="20" unbalanced="0"/>
    <cacheHierarchy uniqueName="[Tabla1].[% Ejec]" caption="% Ejec" attribute="1" defaultMemberUniqueName="[Tabla1].[% Ejec].[All]" allUniqueName="[Tabla1].[% Ejec].[All]" dimensionUniqueName="[Tabla1]" displayFolder="" count="0" memberValueDatatype="5" unbalanced="0"/>
    <cacheHierarchy uniqueName="[Tabla1].[Estado presupuesto]" caption="Estado presupuesto" attribute="1" defaultMemberUniqueName="[Tabla1].[Estado presupuesto].[All]" allUniqueName="[Tabla1].[Estado presupuesto].[All]" dimensionUniqueName="[Tabla1]" displayFolder="" count="0" memberValueDatatype="130" unbalanced="0"/>
    <cacheHierarchy uniqueName="[Tabla1].[Fecha aprobación]" caption="Fecha aprobación" attribute="1" time="1" defaultMemberUniqueName="[Tabla1].[Fecha aprobación].[All]" allUniqueName="[Tabla1].[Fecha aprobación].[All]" dimensionUniqueName="[Tabla1]" displayFolder="" count="0" memberValueDatatype="7" unbalanced="0"/>
    <cacheHierarchy uniqueName="[Tabla1].[mm.aa fch aprob]" caption="mm.aa fch aprob" attribute="1" time="1" defaultMemberUniqueName="[Tabla1].[mm.aa fch aprob].[All]" allUniqueName="[Tabla1].[mm.aa fch aprob].[All]" dimensionUniqueName="[Tabla1]" displayFolder="" count="0" memberValueDatatype="7" unbalanced="0"/>
    <cacheHierarchy uniqueName="[Tabla1].[Año Proy]" caption="Año Proy" attribute="1" defaultMemberUniqueName="[Tabla1].[Año Proy].[All]" allUniqueName="[Tabla1].[Año Proy].[All]" dimensionUniqueName="[Tabla1]" displayFolder="" count="2" memberValueDatatype="20" unbalanced="0">
      <fieldsUsage count="2">
        <fieldUsage x="-1"/>
        <fieldUsage x="3"/>
      </fieldsUsage>
    </cacheHierarchy>
    <cacheHierarchy uniqueName="[Tabla1].[Línea de negocio]" caption="Línea de negocio" attribute="1" defaultMemberUniqueName="[Tabla1].[Línea de negocio].[All]" allUniqueName="[Tabla1].[Línea de negocio].[All]" dimensionUniqueName="[Tabla1]" displayFolder="" count="0" memberValueDatatype="130" unbalanced="0"/>
    <cacheHierarchy uniqueName="[Tabla1].[País]" caption="País" attribute="1" defaultMemberUniqueName="[Tabla1].[País].[All]" allUniqueName="[Tabla1].[País].[All]" dimensionUniqueName="[Tabla1]" displayFolder="" count="0" memberValueDatatype="130" unbalanced="0"/>
    <cacheHierarchy uniqueName="[Tabla1].[Fecha aprobación (mes)]" caption="Fecha aprobación (mes)" attribute="1" defaultMemberUniqueName="[Tabla1].[Fecha aprobación (mes)].[All]" allUniqueName="[Tabla1].[Fecha aprobación (mes)].[All]" dimensionUniqueName="[Tabla1]" displayFolder="" count="0" memberValueDatatype="130" unbalanced="0"/>
    <cacheHierarchy uniqueName="[Tabla2].[Llave]" caption="Llave" attribute="1" defaultMemberUniqueName="[Tabla2].[Llave].[All]" allUniqueName="[Tabla2].[Llave].[All]" dimensionUniqueName="[Tabla2]" displayFolder="" count="0" memberValueDatatype="130" unbalanced="0"/>
    <cacheHierarchy uniqueName="[Tabla2].[ID]" caption="ID" attribute="1" defaultMemberUniqueName="[Tabla2].[ID].[All]" allUniqueName="[Tabla2].[ID].[All]" dimensionUniqueName="[Tabla2]" displayFolder="" count="0" memberValueDatatype="130" unbalanced="0"/>
    <cacheHierarchy uniqueName="[Tabla2].[Año Proy]" caption="Año Proy" attribute="1" defaultMemberUniqueName="[Tabla2].[Año Proy].[All]" allUniqueName="[Tabla2].[Año Proy].[All]" dimensionUniqueName="[Tabla2]" displayFolder="" count="0" memberValueDatatype="20" unbalanced="0"/>
    <cacheHierarchy uniqueName="[Tabla2].[Fecha]" caption="Fecha" attribute="1" time="1" defaultMemberUniqueName="[Tabla2].[Fecha].[All]" allUniqueName="[Tabla2].[Fecha].[All]" dimensionUniqueName="[Tabla2]" displayFolder="" count="0" memberValueDatatype="7" unbalanced="0"/>
    <cacheHierarchy uniqueName="[Tabla2].[Proveedor]" caption="Proveedor" attribute="1" defaultMemberUniqueName="[Tabla2].[Proveedor].[All]" allUniqueName="[Tabla2].[Proveedor].[All]" dimensionUniqueName="[Tabla2]" displayFolder="" count="0" memberValueDatatype="130" unbalanced="0"/>
    <cacheHierarchy uniqueName="[Tabla2].[Código]" caption="Código" attribute="1" defaultMemberUniqueName="[Tabla2].[Código].[All]" allUniqueName="[Tabla2].[Código].[All]" dimensionUniqueName="[Tabla2]" displayFolder="" count="0" memberValueDatatype="130" unbalanced="0"/>
    <cacheHierarchy uniqueName="[Tabla2].[Factura]" caption="Factura" attribute="1" defaultMemberUniqueName="[Tabla2].[Factura].[All]" allUniqueName="[Tabla2].[Factura].[All]" dimensionUniqueName="[Tabla2]" displayFolder="" count="0" memberValueDatatype="130" unbalanced="0"/>
    <cacheHierarchy uniqueName="[Tabla2].[Mes aprob]" caption="Mes aprob" attribute="1" time="1" defaultMemberUniqueName="[Tabla2].[Mes aprob].[All]" allUniqueName="[Tabla2].[Mes aprob].[All]" dimensionUniqueName="[Tabla2]" displayFolder="" count="0" memberValueDatatype="7" unbalanced="0"/>
    <cacheHierarchy uniqueName="[Tabla2].[OS]" caption="OS" attribute="1" defaultMemberUniqueName="[Tabla2].[OS].[All]" allUniqueName="[Tabla2].[OS].[All]" dimensionUniqueName="[Tabla2]" displayFolder="" count="0" memberValueDatatype="130" unbalanced="0"/>
    <cacheHierarchy uniqueName="[Tabla2].[Proyecto]" caption="Proyecto" attribute="1" defaultMemberUniqueName="[Tabla2].[Proyecto].[All]" allUniqueName="[Tabla2].[Proyecto].[All]" dimensionUniqueName="[Tabla2]" displayFolder="" count="0" memberValueDatatype="130" unbalanced="0"/>
    <cacheHierarchy uniqueName="[Tabla2].[# Cuota]" caption="# Cuota" attribute="1" defaultMemberUniqueName="[Tabla2].[# Cuota].[All]" allUniqueName="[Tabla2].[# Cuota].[All]" dimensionUniqueName="[Tabla2]" displayFolder="" count="0" memberValueDatatype="20" unbalanced="0"/>
    <cacheHierarchy uniqueName="[Tabla2].[Detalle cuota]" caption="Detalle cuota" attribute="1" defaultMemberUniqueName="[Tabla2].[Detalle cuota].[All]" allUniqueName="[Tabla2].[Detalle cuota].[All]" dimensionUniqueName="[Tabla2]" displayFolder="" count="0" memberValueDatatype="130" unbalanced="0"/>
    <cacheHierarchy uniqueName="[Tabla2].[Cuota]" caption="Cuota" attribute="1" defaultMemberUniqueName="[Tabla2].[Cuota].[All]" allUniqueName="[Tabla2].[Cuota].[All]" dimensionUniqueName="[Tabla2]" displayFolder="" count="0" memberValueDatatype="5" unbalanced="0"/>
    <cacheHierarchy uniqueName="[Tabla2].[Total cuotas]" caption="Total cuotas" attribute="1" defaultMemberUniqueName="[Tabla2].[Total cuotas].[All]" allUniqueName="[Tabla2].[Total cuotas].[All]" dimensionUniqueName="[Tabla2]" displayFolder="" count="0" memberValueDatatype="20" unbalanced="0"/>
    <cacheHierarchy uniqueName="[Tabla2].[Moneda]" caption="Moneda" attribute="1" defaultMemberUniqueName="[Tabla2].[Moneda].[All]" allUniqueName="[Tabla2].[Moneda].[All]" dimensionUniqueName="[Tabla2]" displayFolder="" count="0" memberValueDatatype="130" unbalanced="0"/>
    <cacheHierarchy uniqueName="[Tabla2].[Cuota S/.]" caption="Cuota S/." attribute="1" defaultMemberUniqueName="[Tabla2].[Cuota S/.].[All]" allUniqueName="[Tabla2].[Cuota S/.].[All]" dimensionUniqueName="[Tabla2]" displayFolder="" count="0" memberValueDatatype="5" unbalanced="0"/>
    <cacheHierarchy uniqueName="[Tabla2].[Cuenta]" caption="Cuenta" attribute="1" defaultMemberUniqueName="[Tabla2].[Cuenta].[All]" allUniqueName="[Tabla2].[Cuenta].[All]" dimensionUniqueName="[Tabla2]" displayFolder="" count="0" memberValueDatatype="130" unbalanced="0"/>
    <cacheHierarchy uniqueName="[Tabla2].[País]" caption="País" attribute="1" defaultMemberUniqueName="[Tabla2].[País].[All]" allUniqueName="[Tabla2].[País].[All]" dimensionUniqueName="[Tabla2]" displayFolder="" count="0" memberValueDatatype="130" unbalanced="0"/>
    <cacheHierarchy uniqueName="[Tabla2].[Área]" caption="Área" attribute="1" defaultMemberUniqueName="[Tabla2].[Área].[All]" allUniqueName="[Tabla2].[Área].[All]" dimensionUniqueName="[Tabla2]" displayFolder="" count="0" memberValueDatatype="130" unbalanced="0"/>
    <cacheHierarchy uniqueName="[Tabla2].[Estado]" caption="Estado" attribute="1" defaultMemberUniqueName="[Tabla2].[Estado].[All]" allUniqueName="[Tabla2].[Estado].[All]" dimensionUniqueName="[Tabla2]" displayFolder="" count="0" memberValueDatatype="130" unbalanced="0"/>
    <cacheHierarchy uniqueName="[Tabla2].[F Venc]" caption="F Venc" attribute="1" defaultMemberUniqueName="[Tabla2].[F Venc].[All]" allUniqueName="[Tabla2].[F Venc].[All]" dimensionUniqueName="[Tabla2]" displayFolder="" count="0" memberValueDatatype="130" unbalanced="0"/>
    <cacheHierarchy uniqueName="[Tabla2].[Fecha pago]" caption="Fecha pago" attribute="1" defaultMemberUniqueName="[Tabla2].[Fecha pago].[All]" allUniqueName="[Tabla2].[Fecha pago].[All]" dimensionUniqueName="[Tabla2]" displayFolder="" count="0" memberValueDatatype="130" unbalanced="0"/>
    <cacheHierarchy uniqueName="[Tabla2].[mm.aa]" caption="mm.aa" attribute="1" time="1" defaultMemberUniqueName="[Tabla2].[mm.aa].[All]" allUniqueName="[Tabla2].[mm.aa].[All]" dimensionUniqueName="[Tabla2]" displayFolder="" count="0" memberValueDatatype="7" unbalanced="0"/>
    <cacheHierarchy uniqueName="[Tabla2].[Sistema]" caption="Sistema" attribute="1" defaultMemberUniqueName="[Tabla2].[Sistema].[All]" allUniqueName="[Tabla2].[Sistema].[All]" dimensionUniqueName="[Tabla2]" displayFolder="" count="0" memberValueDatatype="130" unbalanced="0"/>
    <cacheHierarchy uniqueName="[Tabla2].[Fecha (año)]" caption="Fecha (año)" attribute="1" defaultMemberUniqueName="[Tabla2].[Fecha (año)].[All]" allUniqueName="[Tabla2].[Fecha (año)].[All]" dimensionUniqueName="[Tabla2]" displayFolder="" count="0" memberValueDatatype="130" unbalanced="0"/>
    <cacheHierarchy uniqueName="[Tabla2].[Fecha (trimestre)]" caption="Fecha (trimestre)" attribute="1" defaultMemberUniqueName="[Tabla2].[Fecha (trimestre)].[All]" allUniqueName="[Tabla2].[Fecha (trimestre)].[All]" dimensionUniqueName="[Tabla2]" displayFolder="" count="0" memberValueDatatype="130" unbalanced="0"/>
    <cacheHierarchy uniqueName="[Tabla2].[Fecha (mes)]" caption="Fecha (mes)" attribute="1" defaultMemberUniqueName="[Tabla2].[Fecha (mes)].[All]" allUniqueName="[Tabla2].[Fecha (mes)].[All]" dimensionUniqueName="[Tabla2]" displayFolder="" count="0" memberValueDatatype="130" unbalanced="0"/>
    <cacheHierarchy uniqueName="[Tabla2].[mm.aa (año)]" caption="mm.aa (año)" attribute="1" defaultMemberUniqueName="[Tabla2].[mm.aa (año)].[All]" allUniqueName="[Tabla2].[mm.aa (año)].[All]" dimensionUniqueName="[Tabla2]" displayFolder="" count="0" memberValueDatatype="130" unbalanced="0"/>
    <cacheHierarchy uniqueName="[Tabla2].[mm.aa (trimestre)]" caption="mm.aa (trimestre)" attribute="1" defaultMemberUniqueName="[Tabla2].[mm.aa (trimestre)].[All]" allUniqueName="[Tabla2].[mm.aa (trimestre)].[All]" dimensionUniqueName="[Tabla2]" displayFolder="" count="0" memberValueDatatype="130" unbalanced="0"/>
    <cacheHierarchy uniqueName="[Tabla2].[mm.aa (mes)]" caption="mm.aa (mes)" attribute="1" defaultMemberUniqueName="[Tabla2].[mm.aa (mes)].[All]" allUniqueName="[Tabla2].[mm.aa (mes)].[All]" dimensionUniqueName="[Tabla2]" displayFolder="" count="0" memberValueDatatype="130" unbalanced="0"/>
    <cacheHierarchy uniqueName="[Tabla2].[Mes aprob (año)]" caption="Mes aprob (año)" attribute="1" defaultMemberUniqueName="[Tabla2].[Mes aprob (año)].[All]" allUniqueName="[Tabla2].[Mes aprob (año)].[All]" dimensionUniqueName="[Tabla2]" displayFolder="" count="0" memberValueDatatype="130" unbalanced="0"/>
    <cacheHierarchy uniqueName="[Tabla2].[Mes aprob (trimestre)]" caption="Mes aprob (trimestre)" attribute="1" defaultMemberUniqueName="[Tabla2].[Mes aprob (trimestre)].[All]" allUniqueName="[Tabla2].[Mes aprob (trimestre)].[All]" dimensionUniqueName="[Tabla2]" displayFolder="" count="0" memberValueDatatype="130" unbalanced="0"/>
    <cacheHierarchy uniqueName="[Tabla2].[Mes aprob (mes)]" caption="Mes aprob (mes)" attribute="1" defaultMemberUniqueName="[Tabla2].[Mes aprob (mes)].[All]" allUniqueName="[Tabla2].[Mes aprob (mes)].[All]" dimensionUniqueName="[Tabla2]" displayFolder="" count="0" memberValueDatatype="130" unbalanced="0"/>
    <cacheHierarchy uniqueName="[Tabla1].[Fecha aprobación (índice de meses)]" caption="Fecha aprobación (índice de meses)" attribute="1" defaultMemberUniqueName="[Tabla1].[Fecha aprobación (índice de meses)].[All]" allUniqueName="[Tabla1].[Fecha aprobación (índice de meses)].[All]" dimensionUniqueName="[Tabla1]" displayFolder="" count="0" memberValueDatatype="20" unbalanced="0" hidden="1"/>
    <cacheHierarchy uniqueName="[Tabla2].[Fecha (índice de meses)]" caption="Fecha (índice de meses)" attribute="1" defaultMemberUniqueName="[Tabla2].[Fecha (índice de meses)].[All]" allUniqueName="[Tabla2].[Fecha (índice de meses)].[All]" dimensionUniqueName="[Tabla2]" displayFolder="" count="0" memberValueDatatype="20" unbalanced="0" hidden="1"/>
    <cacheHierarchy uniqueName="[Tabla2].[Mes aprob (índice de meses)]" caption="Mes aprob (índice de meses)" attribute="1" defaultMemberUniqueName="[Tabla2].[Mes aprob (índice de meses)].[All]" allUniqueName="[Tabla2].[Mes aprob (índice de meses)].[All]" dimensionUniqueName="[Tabla2]" displayFolder="" count="0" memberValueDatatype="20" unbalanced="0" hidden="1"/>
    <cacheHierarchy uniqueName="[Tabla2].[mm.aa (índice de meses)]" caption="mm.aa (índice de meses)" attribute="1" defaultMemberUniqueName="[Tabla2].[mm.aa (índice de meses)].[All]" allUniqueName="[Tabla2].[mm.aa (índice de meses)].[All]" dimensionUniqueName="[Tabla2]" displayFolder="" count="0" memberValueDatatype="20" unbalanced="0" hidden="1"/>
    <cacheHierarchy uniqueName="[Measures].[__XL_Count Tabla2]" caption="__XL_Count Tabla2" measure="1" displayFolder="" measureGroup="Tabla2" count="0" hidden="1"/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  <cacheHierarchy uniqueName="[Measures].[Suma de Año Proy]" caption="Suma de Año Proy" measure="1" displayFolder="" measureGroup="Tabla2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Recuento de Proyecto]" caption="Recuento de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e SG5]" caption="Recuento de SG5" measure="1" displayFolder="" measureGroup="Tabla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Recuento de CRM]" caption="Recuento de CRM" measure="1" displayFolder="" measureGroup="Tabla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Exactus]" caption="Recuento de Exactus" measure="1" displayFolder="" measureGroup="Tabla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Recuento de Web]" caption="Recuento de Web" measure="1" displayFolder="" measureGroup="Tabla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Recuento de Estado proyecto]" caption="Recuento de Estado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Ejecutado S/.]" caption="Suma de Ejecutado S/." measure="1" displayFolder="" measureGroup="Tabla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Aprobado S/.]" caption="Suma de Aprobado S/." measure="1" displayFolder="" measureGroup="Tabla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Fecha aprobación]" caption="Recuento de Fecha aprobación" measure="1" displayFolder="" measureGroup="Tabla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a de Presupuesto S/.]" caption="Suma de Presupuesto S/." measure="1" displayFolder="" measureGroup="Tabla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Cuota]" caption="Suma de Cuota" measure="1" displayFolder="" measureGroup="Tabla2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de Año Proy 2]" caption="Suma de Año Proy 2" measure="1" displayFolder="" measureGroup="Tabla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de % Aprob]" caption="Suma de % Aprob" measure="1" displayFolder="" measureGroup="Tabla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% Ejec]" caption="Suma de % Ejec" measure="1" displayFolder="" measureGroup="Tabla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de Cuota S/.]" caption="Suma de Cuota S/." measure="1" displayFolder="" measureGroup="Tabla2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</cacheHierarchies>
  <kpis count="0"/>
  <dimensions count="3">
    <dimension measure="1" name="Measures" uniqueName="[Measures]" caption="Measures"/>
    <dimension name="Tabla1" uniqueName="[Tabla1]" caption="Tabla1"/>
    <dimension name="Tabla2" uniqueName="[Tabla2]" caption="Tabla2"/>
  </dimensions>
  <measureGroups count="2">
    <measureGroup name="Tabla1" caption="Tabla1"/>
    <measureGroup name="Tabla2" caption="Tabla2"/>
  </measureGroups>
  <maps count="3">
    <map measureGroup="0" dimension="1"/>
    <map measureGroup="1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laniz Andrea Arce Castillo" refreshedDate="45495.580685069443" backgroundQuery="1" createdVersion="8" refreshedVersion="8" minRefreshableVersion="3" recordCount="0" supportSubquery="1" supportAdvancedDrill="1" xr:uid="{762235FE-DE12-43D9-A35C-DABA57E1C5A9}">
  <cacheSource type="external" connectionId="1"/>
  <cacheFields count="4">
    <cacheField name="[Measures].[Recuento de Proyecto]" caption="Recuento de Proyecto" numFmtId="0" hierarchy="72" level="32767"/>
    <cacheField name="[Tabla1].[Estado proyecto].[Estado proyecto]" caption="Estado proyecto" numFmtId="0" hierarchy="12" level="1">
      <sharedItems count="3">
        <s v="En proceso"/>
        <s v="Finalizado"/>
        <s v="Sin iniciar"/>
      </sharedItems>
    </cacheField>
    <cacheField name="[Tabla1].[Estado presupuesto].[Estado presupuesto]" caption="Estado presupuesto" numFmtId="0" hierarchy="24" level="1">
      <sharedItems containsSemiMixedTypes="0" containsNonDate="0" containsString="0"/>
    </cacheField>
    <cacheField name="[Tabla1].[Año Proy].[Año Proy]" caption="Año Proy" numFmtId="0" hierarchy="27" level="1">
      <sharedItems containsSemiMixedTypes="0" containsNonDate="0" containsString="0"/>
    </cacheField>
  </cacheFields>
  <cacheHierarchies count="87">
    <cacheHierarchy uniqueName="[Tabla1].[Llave]" caption="Llave" attribute="1" defaultMemberUniqueName="[Tabla1].[Llave].[All]" allUniqueName="[Tabla1].[Llave].[All]" dimensionUniqueName="[Tabla1]" displayFolder="" count="0" memberValueDatatype="130" unbalanced="0"/>
    <cacheHierarchy uniqueName="[Tabla1].[ID]" caption="ID" attribute="1" defaultMemberUniqueName="[Tabla1].[ID].[All]" allUniqueName="[Tabla1].[ID].[All]" dimensionUniqueName="[Tabla1]" displayFolder="" count="0" memberValueDatatype="130" unbalanced="0"/>
    <cacheHierarchy uniqueName="[Tabla1].[Proyecto]" caption="Proyecto" attribute="1" defaultMemberUniqueName="[Tabla1].[Proyecto].[All]" allUniqueName="[Tabla1].[Proyecto].[All]" dimensionUniqueName="[Tabla1]" displayFolder="" count="0" memberValueDatatype="130" unbalanced="0"/>
    <cacheHierarchy uniqueName="[Tabla1].[Alcance]" caption="Alcance" attribute="1" defaultMemberUniqueName="[Tabla1].[Alcance].[All]" allUniqueName="[Tabla1].[Alcance].[All]" dimensionUniqueName="[Tabla1]" displayFolder="" count="0" memberValueDatatype="130" unbalanced="0"/>
    <cacheHierarchy uniqueName="[Tabla1].[Área]" caption="Área" attribute="1" defaultMemberUniqueName="[Tabla1].[Área].[All]" allUniqueName="[Tabla1].[Área].[All]" dimensionUniqueName="[Tabla1]" displayFolder="" count="0" memberValueDatatype="130" unbalanced="0"/>
    <cacheHierarchy uniqueName="[Tabla1].[Sub-Área]" caption="Sub-Área" attribute="1" defaultMemberUniqueName="[Tabla1].[Sub-Área].[All]" allUniqueName="[Tabla1].[Sub-Área].[All]" dimensionUniqueName="[Tabla1]" displayFolder="" count="0" memberValueDatatype="130" unbalanced="0"/>
    <cacheHierarchy uniqueName="[Tabla1].[Involucradas]" caption="Involucradas" attribute="1" defaultMemberUniqueName="[Tabla1].[Involucradas].[All]" allUniqueName="[Tabla1].[Involucradas].[All]" dimensionUniqueName="[Tabla1]" displayFolder="" count="0" memberValueDatatype="130" unbalanced="0"/>
    <cacheHierarchy uniqueName="[Tabla1].[Tamaño]" caption="Tamaño" attribute="1" defaultMemberUniqueName="[Tabla1].[Tamaño].[All]" allUniqueName="[Tabla1].[Tamaño].[All]" dimensionUniqueName="[Tabla1]" displayFolder="" count="0" memberValueDatatype="130" unbalanced="0"/>
    <cacheHierarchy uniqueName="[Tabla1].[Puntaje]" caption="Puntaje" attribute="1" defaultMemberUniqueName="[Tabla1].[Puntaje].[All]" allUniqueName="[Tabla1].[Puntaje].[All]" dimensionUniqueName="[Tabla1]" displayFolder="" count="0" memberValueDatatype="20" unbalanced="0"/>
    <cacheHierarchy uniqueName="[Tabla1].[Esfuerzo]" caption="Esfuerzo" attribute="1" defaultMemberUniqueName="[Tabla1].[Esfuerzo].[All]" allUniqueName="[Tabla1].[Esfuerzo].[All]" dimensionUniqueName="[Tabla1]" displayFolder="" count="0" memberValueDatatype="20" unbalanced="0"/>
    <cacheHierarchy uniqueName="[Tabla1].[Líder]" caption="Líder" attribute="1" defaultMemberUniqueName="[Tabla1].[Líder].[All]" allUniqueName="[Tabla1].[Líder].[All]" dimensionUniqueName="[Tabla1]" displayFolder="" count="0" memberValueDatatype="130" unbalanced="0"/>
    <cacheHierarchy uniqueName="[Tabla1].[P.Manager]" caption="P.Manager" attribute="1" defaultMemberUniqueName="[Tabla1].[P.Manager].[All]" allUniqueName="[Tabla1].[P.Manager].[All]" dimensionUniqueName="[Tabla1]" displayFolder="" count="0" memberValueDatatype="130" unbalanced="0"/>
    <cacheHierarchy uniqueName="[Tabla1].[Estado proyecto]" caption="Estado proyecto" attribute="1" defaultMemberUniqueName="[Tabla1].[Estado proyecto].[All]" allUniqueName="[Tabla1].[Estado proyecto].[All]" dimensionUniqueName="[Tabla1]" displayFolder="" count="2" memberValueDatatype="130" unbalanced="0">
      <fieldsUsage count="2">
        <fieldUsage x="-1"/>
        <fieldUsage x="1"/>
      </fieldsUsage>
    </cacheHierarchy>
    <cacheHierarchy uniqueName="[Tabla1].[Proveedor principal]" caption="Proveedor principal" attribute="1" defaultMemberUniqueName="[Tabla1].[Proveedor principal].[All]" allUniqueName="[Tabla1].[Proveedor principal].[All]" dimensionUniqueName="[Tabla1]" displayFolder="" count="0" memberValueDatatype="130" unbalanced="0"/>
    <cacheHierarchy uniqueName="[Tabla1].[SG5]" caption="SG5" attribute="1" defaultMemberUniqueName="[Tabla1].[SG5].[All]" allUniqueName="[Tabla1].[SG5].[All]" dimensionUniqueName="[Tabla1]" displayFolder="" count="0" memberValueDatatype="130" unbalanced="0"/>
    <cacheHierarchy uniqueName="[Tabla1].[CRM]" caption="CRM" attribute="1" defaultMemberUniqueName="[Tabla1].[CRM].[All]" allUniqueName="[Tabla1].[CRM].[All]" dimensionUniqueName="[Tabla1]" displayFolder="" count="0" memberValueDatatype="130" unbalanced="0"/>
    <cacheHierarchy uniqueName="[Tabla1].[Exactus]" caption="Exactus" attribute="1" defaultMemberUniqueName="[Tabla1].[Exactus].[All]" allUniqueName="[Tabla1].[Exactus].[All]" dimensionUniqueName="[Tabla1]" displayFolder="" count="0" memberValueDatatype="130" unbalanced="0"/>
    <cacheHierarchy uniqueName="[Tabla1].[Web]" caption="Web" attribute="1" defaultMemberUniqueName="[Tabla1].[Web].[All]" allUniqueName="[Tabla1].[Web].[All]" dimensionUniqueName="[Tabla1]" displayFolder="" count="0" memberValueDatatype="130" unbalanced="0"/>
    <cacheHierarchy uniqueName="[Tabla1].[Otros]" caption="Otros" attribute="1" defaultMemberUniqueName="[Tabla1].[Otros].[All]" allUniqueName="[Tabla1].[Otros].[All]" dimensionUniqueName="[Tabla1]" displayFolder="" count="0" memberValueDatatype="130" unbalanced="0"/>
    <cacheHierarchy uniqueName="[Tabla1].[Presupuesto S/.]" caption="Presupuesto S/." attribute="1" defaultMemberUniqueName="[Tabla1].[Presupuesto S/.].[All]" allUniqueName="[Tabla1].[Presupuesto S/.].[All]" dimensionUniqueName="[Tabla1]" displayFolder="" count="0" memberValueDatatype="20" unbalanced="0"/>
    <cacheHierarchy uniqueName="[Tabla1].[Aprobado S/.]" caption="Aprobado S/." attribute="1" defaultMemberUniqueName="[Tabla1].[Aprobado S/.].[All]" allUniqueName="[Tabla1].[Aprobado S/.].[All]" dimensionUniqueName="[Tabla1]" displayFolder="" count="0" memberValueDatatype="20" unbalanced="0"/>
    <cacheHierarchy uniqueName="[Tabla1].[% Aprob]" caption="% Aprob" attribute="1" defaultMemberUniqueName="[Tabla1].[% Aprob].[All]" allUniqueName="[Tabla1].[% Aprob].[All]" dimensionUniqueName="[Tabla1]" displayFolder="" count="0" memberValueDatatype="5" unbalanced="0"/>
    <cacheHierarchy uniqueName="[Tabla1].[Ejecutado S/.]" caption="Ejecutado S/." attribute="1" defaultMemberUniqueName="[Tabla1].[Ejecutado S/.].[All]" allUniqueName="[Tabla1].[Ejecutado S/.].[All]" dimensionUniqueName="[Tabla1]" displayFolder="" count="0" memberValueDatatype="20" unbalanced="0"/>
    <cacheHierarchy uniqueName="[Tabla1].[% Ejec]" caption="% Ejec" attribute="1" defaultMemberUniqueName="[Tabla1].[% Ejec].[All]" allUniqueName="[Tabla1].[% Ejec].[All]" dimensionUniqueName="[Tabla1]" displayFolder="" count="0" memberValueDatatype="5" unbalanced="0"/>
    <cacheHierarchy uniqueName="[Tabla1].[Estado presupuesto]" caption="Estado presupuesto" attribute="1" defaultMemberUniqueName="[Tabla1].[Estado presupuesto].[All]" allUniqueName="[Tabla1].[Estado presupuesto].[All]" dimensionUniqueName="[Tabla1]" displayFolder="" count="2" memberValueDatatype="130" unbalanced="0">
      <fieldsUsage count="2">
        <fieldUsage x="-1"/>
        <fieldUsage x="2"/>
      </fieldsUsage>
    </cacheHierarchy>
    <cacheHierarchy uniqueName="[Tabla1].[Fecha aprobación]" caption="Fecha aprobación" attribute="1" time="1" defaultMemberUniqueName="[Tabla1].[Fecha aprobación].[All]" allUniqueName="[Tabla1].[Fecha aprobación].[All]" dimensionUniqueName="[Tabla1]" displayFolder="" count="0" memberValueDatatype="7" unbalanced="0"/>
    <cacheHierarchy uniqueName="[Tabla1].[mm.aa fch aprob]" caption="mm.aa fch aprob" attribute="1" time="1" defaultMemberUniqueName="[Tabla1].[mm.aa fch aprob].[All]" allUniqueName="[Tabla1].[mm.aa fch aprob].[All]" dimensionUniqueName="[Tabla1]" displayFolder="" count="0" memberValueDatatype="7" unbalanced="0"/>
    <cacheHierarchy uniqueName="[Tabla1].[Año Proy]" caption="Año Proy" attribute="1" defaultMemberUniqueName="[Tabla1].[Año Proy].[All]" allUniqueName="[Tabla1].[Año Proy].[All]" dimensionUniqueName="[Tabla1]" displayFolder="" count="2" memberValueDatatype="20" unbalanced="0">
      <fieldsUsage count="2">
        <fieldUsage x="-1"/>
        <fieldUsage x="3"/>
      </fieldsUsage>
    </cacheHierarchy>
    <cacheHierarchy uniqueName="[Tabla1].[Línea de negocio]" caption="Línea de negocio" attribute="1" defaultMemberUniqueName="[Tabla1].[Línea de negocio].[All]" allUniqueName="[Tabla1].[Línea de negocio].[All]" dimensionUniqueName="[Tabla1]" displayFolder="" count="0" memberValueDatatype="130" unbalanced="0"/>
    <cacheHierarchy uniqueName="[Tabla1].[País]" caption="País" attribute="1" defaultMemberUniqueName="[Tabla1].[País].[All]" allUniqueName="[Tabla1].[País].[All]" dimensionUniqueName="[Tabla1]" displayFolder="" count="0" memberValueDatatype="130" unbalanced="0"/>
    <cacheHierarchy uniqueName="[Tabla1].[Fecha aprobación (mes)]" caption="Fecha aprobación (mes)" attribute="1" defaultMemberUniqueName="[Tabla1].[Fecha aprobación (mes)].[All]" allUniqueName="[Tabla1].[Fecha aprobación (mes)].[All]" dimensionUniqueName="[Tabla1]" displayFolder="" count="0" memberValueDatatype="130" unbalanced="0"/>
    <cacheHierarchy uniqueName="[Tabla2].[Llave]" caption="Llave" attribute="1" defaultMemberUniqueName="[Tabla2].[Llave].[All]" allUniqueName="[Tabla2].[Llave].[All]" dimensionUniqueName="[Tabla2]" displayFolder="" count="0" memberValueDatatype="130" unbalanced="0"/>
    <cacheHierarchy uniqueName="[Tabla2].[ID]" caption="ID" attribute="1" defaultMemberUniqueName="[Tabla2].[ID].[All]" allUniqueName="[Tabla2].[ID].[All]" dimensionUniqueName="[Tabla2]" displayFolder="" count="0" memberValueDatatype="130" unbalanced="0"/>
    <cacheHierarchy uniqueName="[Tabla2].[Año Proy]" caption="Año Proy" attribute="1" defaultMemberUniqueName="[Tabla2].[Año Proy].[All]" allUniqueName="[Tabla2].[Año Proy].[All]" dimensionUniqueName="[Tabla2]" displayFolder="" count="0" memberValueDatatype="20" unbalanced="0"/>
    <cacheHierarchy uniqueName="[Tabla2].[Fecha]" caption="Fecha" attribute="1" time="1" defaultMemberUniqueName="[Tabla2].[Fecha].[All]" allUniqueName="[Tabla2].[Fecha].[All]" dimensionUniqueName="[Tabla2]" displayFolder="" count="0" memberValueDatatype="7" unbalanced="0"/>
    <cacheHierarchy uniqueName="[Tabla2].[Proveedor]" caption="Proveedor" attribute="1" defaultMemberUniqueName="[Tabla2].[Proveedor].[All]" allUniqueName="[Tabla2].[Proveedor].[All]" dimensionUniqueName="[Tabla2]" displayFolder="" count="0" memberValueDatatype="130" unbalanced="0"/>
    <cacheHierarchy uniqueName="[Tabla2].[Código]" caption="Código" attribute="1" defaultMemberUniqueName="[Tabla2].[Código].[All]" allUniqueName="[Tabla2].[Código].[All]" dimensionUniqueName="[Tabla2]" displayFolder="" count="0" memberValueDatatype="130" unbalanced="0"/>
    <cacheHierarchy uniqueName="[Tabla2].[Factura]" caption="Factura" attribute="1" defaultMemberUniqueName="[Tabla2].[Factura].[All]" allUniqueName="[Tabla2].[Factura].[All]" dimensionUniqueName="[Tabla2]" displayFolder="" count="0" memberValueDatatype="130" unbalanced="0"/>
    <cacheHierarchy uniqueName="[Tabla2].[Mes aprob]" caption="Mes aprob" attribute="1" time="1" defaultMemberUniqueName="[Tabla2].[Mes aprob].[All]" allUniqueName="[Tabla2].[Mes aprob].[All]" dimensionUniqueName="[Tabla2]" displayFolder="" count="0" memberValueDatatype="7" unbalanced="0"/>
    <cacheHierarchy uniqueName="[Tabla2].[OS]" caption="OS" attribute="1" defaultMemberUniqueName="[Tabla2].[OS].[All]" allUniqueName="[Tabla2].[OS].[All]" dimensionUniqueName="[Tabla2]" displayFolder="" count="0" memberValueDatatype="130" unbalanced="0"/>
    <cacheHierarchy uniqueName="[Tabla2].[Proyecto]" caption="Proyecto" attribute="1" defaultMemberUniqueName="[Tabla2].[Proyecto].[All]" allUniqueName="[Tabla2].[Proyecto].[All]" dimensionUniqueName="[Tabla2]" displayFolder="" count="0" memberValueDatatype="130" unbalanced="0"/>
    <cacheHierarchy uniqueName="[Tabla2].[# Cuota]" caption="# Cuota" attribute="1" defaultMemberUniqueName="[Tabla2].[# Cuota].[All]" allUniqueName="[Tabla2].[# Cuota].[All]" dimensionUniqueName="[Tabla2]" displayFolder="" count="0" memberValueDatatype="20" unbalanced="0"/>
    <cacheHierarchy uniqueName="[Tabla2].[Detalle cuota]" caption="Detalle cuota" attribute="1" defaultMemberUniqueName="[Tabla2].[Detalle cuota].[All]" allUniqueName="[Tabla2].[Detalle cuota].[All]" dimensionUniqueName="[Tabla2]" displayFolder="" count="0" memberValueDatatype="130" unbalanced="0"/>
    <cacheHierarchy uniqueName="[Tabla2].[Cuota]" caption="Cuota" attribute="1" defaultMemberUniqueName="[Tabla2].[Cuota].[All]" allUniqueName="[Tabla2].[Cuota].[All]" dimensionUniqueName="[Tabla2]" displayFolder="" count="0" memberValueDatatype="5" unbalanced="0"/>
    <cacheHierarchy uniqueName="[Tabla2].[Total cuotas]" caption="Total cuotas" attribute="1" defaultMemberUniqueName="[Tabla2].[Total cuotas].[All]" allUniqueName="[Tabla2].[Total cuotas].[All]" dimensionUniqueName="[Tabla2]" displayFolder="" count="0" memberValueDatatype="20" unbalanced="0"/>
    <cacheHierarchy uniqueName="[Tabla2].[Moneda]" caption="Moneda" attribute="1" defaultMemberUniqueName="[Tabla2].[Moneda].[All]" allUniqueName="[Tabla2].[Moneda].[All]" dimensionUniqueName="[Tabla2]" displayFolder="" count="0" memberValueDatatype="130" unbalanced="0"/>
    <cacheHierarchy uniqueName="[Tabla2].[Cuota S/.]" caption="Cuota S/." attribute="1" defaultMemberUniqueName="[Tabla2].[Cuota S/.].[All]" allUniqueName="[Tabla2].[Cuota S/.].[All]" dimensionUniqueName="[Tabla2]" displayFolder="" count="0" memberValueDatatype="5" unbalanced="0"/>
    <cacheHierarchy uniqueName="[Tabla2].[Cuenta]" caption="Cuenta" attribute="1" defaultMemberUniqueName="[Tabla2].[Cuenta].[All]" allUniqueName="[Tabla2].[Cuenta].[All]" dimensionUniqueName="[Tabla2]" displayFolder="" count="0" memberValueDatatype="130" unbalanced="0"/>
    <cacheHierarchy uniqueName="[Tabla2].[País]" caption="País" attribute="1" defaultMemberUniqueName="[Tabla2].[País].[All]" allUniqueName="[Tabla2].[País].[All]" dimensionUniqueName="[Tabla2]" displayFolder="" count="0" memberValueDatatype="130" unbalanced="0"/>
    <cacheHierarchy uniqueName="[Tabla2].[Área]" caption="Área" attribute="1" defaultMemberUniqueName="[Tabla2].[Área].[All]" allUniqueName="[Tabla2].[Área].[All]" dimensionUniqueName="[Tabla2]" displayFolder="" count="0" memberValueDatatype="130" unbalanced="0"/>
    <cacheHierarchy uniqueName="[Tabla2].[Estado]" caption="Estado" attribute="1" defaultMemberUniqueName="[Tabla2].[Estado].[All]" allUniqueName="[Tabla2].[Estado].[All]" dimensionUniqueName="[Tabla2]" displayFolder="" count="0" memberValueDatatype="130" unbalanced="0"/>
    <cacheHierarchy uniqueName="[Tabla2].[F Venc]" caption="F Venc" attribute="1" defaultMemberUniqueName="[Tabla2].[F Venc].[All]" allUniqueName="[Tabla2].[F Venc].[All]" dimensionUniqueName="[Tabla2]" displayFolder="" count="0" memberValueDatatype="130" unbalanced="0"/>
    <cacheHierarchy uniqueName="[Tabla2].[Fecha pago]" caption="Fecha pago" attribute="1" defaultMemberUniqueName="[Tabla2].[Fecha pago].[All]" allUniqueName="[Tabla2].[Fecha pago].[All]" dimensionUniqueName="[Tabla2]" displayFolder="" count="0" memberValueDatatype="130" unbalanced="0"/>
    <cacheHierarchy uniqueName="[Tabla2].[mm.aa]" caption="mm.aa" attribute="1" time="1" defaultMemberUniqueName="[Tabla2].[mm.aa].[All]" allUniqueName="[Tabla2].[mm.aa].[All]" dimensionUniqueName="[Tabla2]" displayFolder="" count="0" memberValueDatatype="7" unbalanced="0"/>
    <cacheHierarchy uniqueName="[Tabla2].[Sistema]" caption="Sistema" attribute="1" defaultMemberUniqueName="[Tabla2].[Sistema].[All]" allUniqueName="[Tabla2].[Sistema].[All]" dimensionUniqueName="[Tabla2]" displayFolder="" count="0" memberValueDatatype="130" unbalanced="0"/>
    <cacheHierarchy uniqueName="[Tabla2].[Fecha (año)]" caption="Fecha (año)" attribute="1" defaultMemberUniqueName="[Tabla2].[Fecha (año)].[All]" allUniqueName="[Tabla2].[Fecha (año)].[All]" dimensionUniqueName="[Tabla2]" displayFolder="" count="0" memberValueDatatype="130" unbalanced="0"/>
    <cacheHierarchy uniqueName="[Tabla2].[Fecha (trimestre)]" caption="Fecha (trimestre)" attribute="1" defaultMemberUniqueName="[Tabla2].[Fecha (trimestre)].[All]" allUniqueName="[Tabla2].[Fecha (trimestre)].[All]" dimensionUniqueName="[Tabla2]" displayFolder="" count="0" memberValueDatatype="130" unbalanced="0"/>
    <cacheHierarchy uniqueName="[Tabla2].[Fecha (mes)]" caption="Fecha (mes)" attribute="1" defaultMemberUniqueName="[Tabla2].[Fecha (mes)].[All]" allUniqueName="[Tabla2].[Fecha (mes)].[All]" dimensionUniqueName="[Tabla2]" displayFolder="" count="0" memberValueDatatype="130" unbalanced="0"/>
    <cacheHierarchy uniqueName="[Tabla2].[mm.aa (año)]" caption="mm.aa (año)" attribute="1" defaultMemberUniqueName="[Tabla2].[mm.aa (año)].[All]" allUniqueName="[Tabla2].[mm.aa (año)].[All]" dimensionUniqueName="[Tabla2]" displayFolder="" count="0" memberValueDatatype="130" unbalanced="0"/>
    <cacheHierarchy uniqueName="[Tabla2].[mm.aa (trimestre)]" caption="mm.aa (trimestre)" attribute="1" defaultMemberUniqueName="[Tabla2].[mm.aa (trimestre)].[All]" allUniqueName="[Tabla2].[mm.aa (trimestre)].[All]" dimensionUniqueName="[Tabla2]" displayFolder="" count="0" memberValueDatatype="130" unbalanced="0"/>
    <cacheHierarchy uniqueName="[Tabla2].[mm.aa (mes)]" caption="mm.aa (mes)" attribute="1" defaultMemberUniqueName="[Tabla2].[mm.aa (mes)].[All]" allUniqueName="[Tabla2].[mm.aa (mes)].[All]" dimensionUniqueName="[Tabla2]" displayFolder="" count="0" memberValueDatatype="130" unbalanced="0"/>
    <cacheHierarchy uniqueName="[Tabla2].[Mes aprob (año)]" caption="Mes aprob (año)" attribute="1" defaultMemberUniqueName="[Tabla2].[Mes aprob (año)].[All]" allUniqueName="[Tabla2].[Mes aprob (año)].[All]" dimensionUniqueName="[Tabla2]" displayFolder="" count="0" memberValueDatatype="130" unbalanced="0"/>
    <cacheHierarchy uniqueName="[Tabla2].[Mes aprob (trimestre)]" caption="Mes aprob (trimestre)" attribute="1" defaultMemberUniqueName="[Tabla2].[Mes aprob (trimestre)].[All]" allUniqueName="[Tabla2].[Mes aprob (trimestre)].[All]" dimensionUniqueName="[Tabla2]" displayFolder="" count="0" memberValueDatatype="130" unbalanced="0"/>
    <cacheHierarchy uniqueName="[Tabla2].[Mes aprob (mes)]" caption="Mes aprob (mes)" attribute="1" defaultMemberUniqueName="[Tabla2].[Mes aprob (mes)].[All]" allUniqueName="[Tabla2].[Mes aprob (mes)].[All]" dimensionUniqueName="[Tabla2]" displayFolder="" count="0" memberValueDatatype="130" unbalanced="0"/>
    <cacheHierarchy uniqueName="[Tabla1].[Fecha aprobación (índice de meses)]" caption="Fecha aprobación (índice de meses)" attribute="1" defaultMemberUniqueName="[Tabla1].[Fecha aprobación (índice de meses)].[All]" allUniqueName="[Tabla1].[Fecha aprobación (índice de meses)].[All]" dimensionUniqueName="[Tabla1]" displayFolder="" count="0" memberValueDatatype="20" unbalanced="0" hidden="1"/>
    <cacheHierarchy uniqueName="[Tabla2].[Fecha (índice de meses)]" caption="Fecha (índice de meses)" attribute="1" defaultMemberUniqueName="[Tabla2].[Fecha (índice de meses)].[All]" allUniqueName="[Tabla2].[Fecha (índice de meses)].[All]" dimensionUniqueName="[Tabla2]" displayFolder="" count="0" memberValueDatatype="20" unbalanced="0" hidden="1"/>
    <cacheHierarchy uniqueName="[Tabla2].[Mes aprob (índice de meses)]" caption="Mes aprob (índice de meses)" attribute="1" defaultMemberUniqueName="[Tabla2].[Mes aprob (índice de meses)].[All]" allUniqueName="[Tabla2].[Mes aprob (índice de meses)].[All]" dimensionUniqueName="[Tabla2]" displayFolder="" count="0" memberValueDatatype="20" unbalanced="0" hidden="1"/>
    <cacheHierarchy uniqueName="[Tabla2].[mm.aa (índice de meses)]" caption="mm.aa (índice de meses)" attribute="1" defaultMemberUniqueName="[Tabla2].[mm.aa (índice de meses)].[All]" allUniqueName="[Tabla2].[mm.aa (índice de meses)].[All]" dimensionUniqueName="[Tabla2]" displayFolder="" count="0" memberValueDatatype="20" unbalanced="0" hidden="1"/>
    <cacheHierarchy uniqueName="[Measures].[__XL_Count Tabla2]" caption="__XL_Count Tabla2" measure="1" displayFolder="" measureGroup="Tabla2" count="0" hidden="1"/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  <cacheHierarchy uniqueName="[Measures].[Suma de Año Proy]" caption="Suma de Año Proy" measure="1" displayFolder="" measureGroup="Tabla2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Recuento de Proyecto]" caption="Recuento de Proyecto" measure="1" displayFolder="" measureGroup="Tabla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e SG5]" caption="Recuento de SG5" measure="1" displayFolder="" measureGroup="Tabla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Recuento de CRM]" caption="Recuento de CRM" measure="1" displayFolder="" measureGroup="Tabla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Exactus]" caption="Recuento de Exactus" measure="1" displayFolder="" measureGroup="Tabla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Recuento de Web]" caption="Recuento de Web" measure="1" displayFolder="" measureGroup="Tabla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Recuento de Estado proyecto]" caption="Recuento de Estado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Ejecutado S/.]" caption="Suma de Ejecutado S/." measure="1" displayFolder="" measureGroup="Tabla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Aprobado S/.]" caption="Suma de Aprobado S/." measure="1" displayFolder="" measureGroup="Tabla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Fecha aprobación]" caption="Recuento de Fecha aprobación" measure="1" displayFolder="" measureGroup="Tabla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a de Presupuesto S/.]" caption="Suma de Presupuesto S/." measure="1" displayFolder="" measureGroup="Tabla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Cuota]" caption="Suma de Cuota" measure="1" displayFolder="" measureGroup="Tabla2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de Año Proy 2]" caption="Suma de Año Proy 2" measure="1" displayFolder="" measureGroup="Tabla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de % Aprob]" caption="Suma de % Aprob" measure="1" displayFolder="" measureGroup="Tabla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% Ejec]" caption="Suma de % Ejec" measure="1" displayFolder="" measureGroup="Tabla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de Cuota S/.]" caption="Suma de Cuota S/." measure="1" displayFolder="" measureGroup="Tabla2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</cacheHierarchies>
  <kpis count="0"/>
  <dimensions count="3">
    <dimension measure="1" name="Measures" uniqueName="[Measures]" caption="Measures"/>
    <dimension name="Tabla1" uniqueName="[Tabla1]" caption="Tabla1"/>
    <dimension name="Tabla2" uniqueName="[Tabla2]" caption="Tabla2"/>
  </dimensions>
  <measureGroups count="2">
    <measureGroup name="Tabla1" caption="Tabla1"/>
    <measureGroup name="Tabla2" caption="Tabla2"/>
  </measureGroups>
  <maps count="3">
    <map measureGroup="0" dimension="1"/>
    <map measureGroup="1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laniz Andrea Arce Castillo" refreshedDate="45495.580685185188" backgroundQuery="1" createdVersion="8" refreshedVersion="8" minRefreshableVersion="3" recordCount="0" supportSubquery="1" supportAdvancedDrill="1" xr:uid="{9730E9F7-194D-4F32-BB28-D4D4E68E1A17}">
  <cacheSource type="external" connectionId="1"/>
  <cacheFields count="3">
    <cacheField name="[Tabla1].[Estado presupuesto].[Estado presupuesto]" caption="Estado presupuesto" numFmtId="0" hierarchy="24" level="1">
      <sharedItems containsSemiMixedTypes="0" containsNonDate="0" containsString="0"/>
    </cacheField>
    <cacheField name="[Measures].[Suma de % Ejec]" caption="Suma de % Ejec" numFmtId="0" hierarchy="85" level="32767"/>
    <cacheField name="[Tabla1].[Año Proy].[Año Proy]" caption="Año Proy" numFmtId="0" hierarchy="27" level="1">
      <sharedItems containsSemiMixedTypes="0" containsNonDate="0" containsString="0"/>
    </cacheField>
  </cacheFields>
  <cacheHierarchies count="87">
    <cacheHierarchy uniqueName="[Tabla1].[Llave]" caption="Llave" attribute="1" defaultMemberUniqueName="[Tabla1].[Llave].[All]" allUniqueName="[Tabla1].[Llave].[All]" dimensionUniqueName="[Tabla1]" displayFolder="" count="0" memberValueDatatype="130" unbalanced="0"/>
    <cacheHierarchy uniqueName="[Tabla1].[ID]" caption="ID" attribute="1" defaultMemberUniqueName="[Tabla1].[ID].[All]" allUniqueName="[Tabla1].[ID].[All]" dimensionUniqueName="[Tabla1]" displayFolder="" count="0" memberValueDatatype="130" unbalanced="0"/>
    <cacheHierarchy uniqueName="[Tabla1].[Proyecto]" caption="Proyecto" attribute="1" defaultMemberUniqueName="[Tabla1].[Proyecto].[All]" allUniqueName="[Tabla1].[Proyecto].[All]" dimensionUniqueName="[Tabla1]" displayFolder="" count="0" memberValueDatatype="130" unbalanced="0"/>
    <cacheHierarchy uniqueName="[Tabla1].[Alcance]" caption="Alcance" attribute="1" defaultMemberUniqueName="[Tabla1].[Alcance].[All]" allUniqueName="[Tabla1].[Alcance].[All]" dimensionUniqueName="[Tabla1]" displayFolder="" count="0" memberValueDatatype="130" unbalanced="0"/>
    <cacheHierarchy uniqueName="[Tabla1].[Área]" caption="Área" attribute="1" defaultMemberUniqueName="[Tabla1].[Área].[All]" allUniqueName="[Tabla1].[Área].[All]" dimensionUniqueName="[Tabla1]" displayFolder="" count="0" memberValueDatatype="130" unbalanced="0"/>
    <cacheHierarchy uniqueName="[Tabla1].[Sub-Área]" caption="Sub-Área" attribute="1" defaultMemberUniqueName="[Tabla1].[Sub-Área].[All]" allUniqueName="[Tabla1].[Sub-Área].[All]" dimensionUniqueName="[Tabla1]" displayFolder="" count="0" memberValueDatatype="130" unbalanced="0"/>
    <cacheHierarchy uniqueName="[Tabla1].[Involucradas]" caption="Involucradas" attribute="1" defaultMemberUniqueName="[Tabla1].[Involucradas].[All]" allUniqueName="[Tabla1].[Involucradas].[All]" dimensionUniqueName="[Tabla1]" displayFolder="" count="0" memberValueDatatype="130" unbalanced="0"/>
    <cacheHierarchy uniqueName="[Tabla1].[Tamaño]" caption="Tamaño" attribute="1" defaultMemberUniqueName="[Tabla1].[Tamaño].[All]" allUniqueName="[Tabla1].[Tamaño].[All]" dimensionUniqueName="[Tabla1]" displayFolder="" count="0" memberValueDatatype="130" unbalanced="0"/>
    <cacheHierarchy uniqueName="[Tabla1].[Puntaje]" caption="Puntaje" attribute="1" defaultMemberUniqueName="[Tabla1].[Puntaje].[All]" allUniqueName="[Tabla1].[Puntaje].[All]" dimensionUniqueName="[Tabla1]" displayFolder="" count="0" memberValueDatatype="20" unbalanced="0"/>
    <cacheHierarchy uniqueName="[Tabla1].[Esfuerzo]" caption="Esfuerzo" attribute="1" defaultMemberUniqueName="[Tabla1].[Esfuerzo].[All]" allUniqueName="[Tabla1].[Esfuerzo].[All]" dimensionUniqueName="[Tabla1]" displayFolder="" count="0" memberValueDatatype="20" unbalanced="0"/>
    <cacheHierarchy uniqueName="[Tabla1].[Líder]" caption="Líder" attribute="1" defaultMemberUniqueName="[Tabla1].[Líder].[All]" allUniqueName="[Tabla1].[Líder].[All]" dimensionUniqueName="[Tabla1]" displayFolder="" count="0" memberValueDatatype="130" unbalanced="0"/>
    <cacheHierarchy uniqueName="[Tabla1].[P.Manager]" caption="P.Manager" attribute="1" defaultMemberUniqueName="[Tabla1].[P.Manager].[All]" allUniqueName="[Tabla1].[P.Manager].[All]" dimensionUniqueName="[Tabla1]" displayFolder="" count="0" memberValueDatatype="130" unbalanced="0"/>
    <cacheHierarchy uniqueName="[Tabla1].[Estado proyecto]" caption="Estado proyecto" attribute="1" defaultMemberUniqueName="[Tabla1].[Estado proyecto].[All]" allUniqueName="[Tabla1].[Estado proyecto].[All]" dimensionUniqueName="[Tabla1]" displayFolder="" count="0" memberValueDatatype="130" unbalanced="0"/>
    <cacheHierarchy uniqueName="[Tabla1].[Proveedor principal]" caption="Proveedor principal" attribute="1" defaultMemberUniqueName="[Tabla1].[Proveedor principal].[All]" allUniqueName="[Tabla1].[Proveedor principal].[All]" dimensionUniqueName="[Tabla1]" displayFolder="" count="0" memberValueDatatype="130" unbalanced="0"/>
    <cacheHierarchy uniqueName="[Tabla1].[SG5]" caption="SG5" attribute="1" defaultMemberUniqueName="[Tabla1].[SG5].[All]" allUniqueName="[Tabla1].[SG5].[All]" dimensionUniqueName="[Tabla1]" displayFolder="" count="0" memberValueDatatype="130" unbalanced="0"/>
    <cacheHierarchy uniqueName="[Tabla1].[CRM]" caption="CRM" attribute="1" defaultMemberUniqueName="[Tabla1].[CRM].[All]" allUniqueName="[Tabla1].[CRM].[All]" dimensionUniqueName="[Tabla1]" displayFolder="" count="0" memberValueDatatype="130" unbalanced="0"/>
    <cacheHierarchy uniqueName="[Tabla1].[Exactus]" caption="Exactus" attribute="1" defaultMemberUniqueName="[Tabla1].[Exactus].[All]" allUniqueName="[Tabla1].[Exactus].[All]" dimensionUniqueName="[Tabla1]" displayFolder="" count="0" memberValueDatatype="130" unbalanced="0"/>
    <cacheHierarchy uniqueName="[Tabla1].[Web]" caption="Web" attribute="1" defaultMemberUniqueName="[Tabla1].[Web].[All]" allUniqueName="[Tabla1].[Web].[All]" dimensionUniqueName="[Tabla1]" displayFolder="" count="0" memberValueDatatype="130" unbalanced="0"/>
    <cacheHierarchy uniqueName="[Tabla1].[Otros]" caption="Otros" attribute="1" defaultMemberUniqueName="[Tabla1].[Otros].[All]" allUniqueName="[Tabla1].[Otros].[All]" dimensionUniqueName="[Tabla1]" displayFolder="" count="0" memberValueDatatype="130" unbalanced="0"/>
    <cacheHierarchy uniqueName="[Tabla1].[Presupuesto S/.]" caption="Presupuesto S/." attribute="1" defaultMemberUniqueName="[Tabla1].[Presupuesto S/.].[All]" allUniqueName="[Tabla1].[Presupuesto S/.].[All]" dimensionUniqueName="[Tabla1]" displayFolder="" count="0" memberValueDatatype="20" unbalanced="0"/>
    <cacheHierarchy uniqueName="[Tabla1].[Aprobado S/.]" caption="Aprobado S/." attribute="1" defaultMemberUniqueName="[Tabla1].[Aprobado S/.].[All]" allUniqueName="[Tabla1].[Aprobado S/.].[All]" dimensionUniqueName="[Tabla1]" displayFolder="" count="0" memberValueDatatype="20" unbalanced="0"/>
    <cacheHierarchy uniqueName="[Tabla1].[% Aprob]" caption="% Aprob" attribute="1" defaultMemberUniqueName="[Tabla1].[% Aprob].[All]" allUniqueName="[Tabla1].[% Aprob].[All]" dimensionUniqueName="[Tabla1]" displayFolder="" count="0" memberValueDatatype="5" unbalanced="0"/>
    <cacheHierarchy uniqueName="[Tabla1].[Ejecutado S/.]" caption="Ejecutado S/." attribute="1" defaultMemberUniqueName="[Tabla1].[Ejecutado S/.].[All]" allUniqueName="[Tabla1].[Ejecutado S/.].[All]" dimensionUniqueName="[Tabla1]" displayFolder="" count="0" memberValueDatatype="20" unbalanced="0"/>
    <cacheHierarchy uniqueName="[Tabla1].[% Ejec]" caption="% Ejec" attribute="1" defaultMemberUniqueName="[Tabla1].[% Ejec].[All]" allUniqueName="[Tabla1].[% Ejec].[All]" dimensionUniqueName="[Tabla1]" displayFolder="" count="0" memberValueDatatype="5" unbalanced="0"/>
    <cacheHierarchy uniqueName="[Tabla1].[Estado presupuesto]" caption="Estado presupuesto" attribute="1" defaultMemberUniqueName="[Tabla1].[Estado presupuesto].[All]" allUniqueName="[Tabla1].[Estado presupuesto].[All]" dimensionUniqueName="[Tabla1]" displayFolder="" count="2" memberValueDatatype="130" unbalanced="0">
      <fieldsUsage count="2">
        <fieldUsage x="-1"/>
        <fieldUsage x="0"/>
      </fieldsUsage>
    </cacheHierarchy>
    <cacheHierarchy uniqueName="[Tabla1].[Fecha aprobación]" caption="Fecha aprobación" attribute="1" time="1" defaultMemberUniqueName="[Tabla1].[Fecha aprobación].[All]" allUniqueName="[Tabla1].[Fecha aprobación].[All]" dimensionUniqueName="[Tabla1]" displayFolder="" count="0" memberValueDatatype="7" unbalanced="0"/>
    <cacheHierarchy uniqueName="[Tabla1].[mm.aa fch aprob]" caption="mm.aa fch aprob" attribute="1" time="1" defaultMemberUniqueName="[Tabla1].[mm.aa fch aprob].[All]" allUniqueName="[Tabla1].[mm.aa fch aprob].[All]" dimensionUniqueName="[Tabla1]" displayFolder="" count="0" memberValueDatatype="7" unbalanced="0"/>
    <cacheHierarchy uniqueName="[Tabla1].[Año Proy]" caption="Año Proy" attribute="1" defaultMemberUniqueName="[Tabla1].[Año Proy].[All]" allUniqueName="[Tabla1].[Año Proy].[All]" dimensionUniqueName="[Tabla1]" displayFolder="" count="2" memberValueDatatype="20" unbalanced="0">
      <fieldsUsage count="2">
        <fieldUsage x="-1"/>
        <fieldUsage x="2"/>
      </fieldsUsage>
    </cacheHierarchy>
    <cacheHierarchy uniqueName="[Tabla1].[Línea de negocio]" caption="Línea de negocio" attribute="1" defaultMemberUniqueName="[Tabla1].[Línea de negocio].[All]" allUniqueName="[Tabla1].[Línea de negocio].[All]" dimensionUniqueName="[Tabla1]" displayFolder="" count="0" memberValueDatatype="130" unbalanced="0"/>
    <cacheHierarchy uniqueName="[Tabla1].[País]" caption="País" attribute="1" defaultMemberUniqueName="[Tabla1].[País].[All]" allUniqueName="[Tabla1].[País].[All]" dimensionUniqueName="[Tabla1]" displayFolder="" count="0" memberValueDatatype="130" unbalanced="0"/>
    <cacheHierarchy uniqueName="[Tabla1].[Fecha aprobación (mes)]" caption="Fecha aprobación (mes)" attribute="1" defaultMemberUniqueName="[Tabla1].[Fecha aprobación (mes)].[All]" allUniqueName="[Tabla1].[Fecha aprobación (mes)].[All]" dimensionUniqueName="[Tabla1]" displayFolder="" count="0" memberValueDatatype="130" unbalanced="0"/>
    <cacheHierarchy uniqueName="[Tabla2].[Llave]" caption="Llave" attribute="1" defaultMemberUniqueName="[Tabla2].[Llave].[All]" allUniqueName="[Tabla2].[Llave].[All]" dimensionUniqueName="[Tabla2]" displayFolder="" count="0" memberValueDatatype="130" unbalanced="0"/>
    <cacheHierarchy uniqueName="[Tabla2].[ID]" caption="ID" attribute="1" defaultMemberUniqueName="[Tabla2].[ID].[All]" allUniqueName="[Tabla2].[ID].[All]" dimensionUniqueName="[Tabla2]" displayFolder="" count="0" memberValueDatatype="130" unbalanced="0"/>
    <cacheHierarchy uniqueName="[Tabla2].[Año Proy]" caption="Año Proy" attribute="1" defaultMemberUniqueName="[Tabla2].[Año Proy].[All]" allUniqueName="[Tabla2].[Año Proy].[All]" dimensionUniqueName="[Tabla2]" displayFolder="" count="0" memberValueDatatype="20" unbalanced="0"/>
    <cacheHierarchy uniqueName="[Tabla2].[Fecha]" caption="Fecha" attribute="1" time="1" defaultMemberUniqueName="[Tabla2].[Fecha].[All]" allUniqueName="[Tabla2].[Fecha].[All]" dimensionUniqueName="[Tabla2]" displayFolder="" count="0" memberValueDatatype="7" unbalanced="0"/>
    <cacheHierarchy uniqueName="[Tabla2].[Proveedor]" caption="Proveedor" attribute="1" defaultMemberUniqueName="[Tabla2].[Proveedor].[All]" allUniqueName="[Tabla2].[Proveedor].[All]" dimensionUniqueName="[Tabla2]" displayFolder="" count="0" memberValueDatatype="130" unbalanced="0"/>
    <cacheHierarchy uniqueName="[Tabla2].[Código]" caption="Código" attribute="1" defaultMemberUniqueName="[Tabla2].[Código].[All]" allUniqueName="[Tabla2].[Código].[All]" dimensionUniqueName="[Tabla2]" displayFolder="" count="0" memberValueDatatype="130" unbalanced="0"/>
    <cacheHierarchy uniqueName="[Tabla2].[Factura]" caption="Factura" attribute="1" defaultMemberUniqueName="[Tabla2].[Factura].[All]" allUniqueName="[Tabla2].[Factura].[All]" dimensionUniqueName="[Tabla2]" displayFolder="" count="0" memberValueDatatype="130" unbalanced="0"/>
    <cacheHierarchy uniqueName="[Tabla2].[Mes aprob]" caption="Mes aprob" attribute="1" time="1" defaultMemberUniqueName="[Tabla2].[Mes aprob].[All]" allUniqueName="[Tabla2].[Mes aprob].[All]" dimensionUniqueName="[Tabla2]" displayFolder="" count="0" memberValueDatatype="7" unbalanced="0"/>
    <cacheHierarchy uniqueName="[Tabla2].[OS]" caption="OS" attribute="1" defaultMemberUniqueName="[Tabla2].[OS].[All]" allUniqueName="[Tabla2].[OS].[All]" dimensionUniqueName="[Tabla2]" displayFolder="" count="0" memberValueDatatype="130" unbalanced="0"/>
    <cacheHierarchy uniqueName="[Tabla2].[Proyecto]" caption="Proyecto" attribute="1" defaultMemberUniqueName="[Tabla2].[Proyecto].[All]" allUniqueName="[Tabla2].[Proyecto].[All]" dimensionUniqueName="[Tabla2]" displayFolder="" count="0" memberValueDatatype="130" unbalanced="0"/>
    <cacheHierarchy uniqueName="[Tabla2].[# Cuota]" caption="# Cuota" attribute="1" defaultMemberUniqueName="[Tabla2].[# Cuota].[All]" allUniqueName="[Tabla2].[# Cuota].[All]" dimensionUniqueName="[Tabla2]" displayFolder="" count="0" memberValueDatatype="20" unbalanced="0"/>
    <cacheHierarchy uniqueName="[Tabla2].[Detalle cuota]" caption="Detalle cuota" attribute="1" defaultMemberUniqueName="[Tabla2].[Detalle cuota].[All]" allUniqueName="[Tabla2].[Detalle cuota].[All]" dimensionUniqueName="[Tabla2]" displayFolder="" count="0" memberValueDatatype="130" unbalanced="0"/>
    <cacheHierarchy uniqueName="[Tabla2].[Cuota]" caption="Cuota" attribute="1" defaultMemberUniqueName="[Tabla2].[Cuota].[All]" allUniqueName="[Tabla2].[Cuota].[All]" dimensionUniqueName="[Tabla2]" displayFolder="" count="0" memberValueDatatype="5" unbalanced="0"/>
    <cacheHierarchy uniqueName="[Tabla2].[Total cuotas]" caption="Total cuotas" attribute="1" defaultMemberUniqueName="[Tabla2].[Total cuotas].[All]" allUniqueName="[Tabla2].[Total cuotas].[All]" dimensionUniqueName="[Tabla2]" displayFolder="" count="0" memberValueDatatype="20" unbalanced="0"/>
    <cacheHierarchy uniqueName="[Tabla2].[Moneda]" caption="Moneda" attribute="1" defaultMemberUniqueName="[Tabla2].[Moneda].[All]" allUniqueName="[Tabla2].[Moneda].[All]" dimensionUniqueName="[Tabla2]" displayFolder="" count="0" memberValueDatatype="130" unbalanced="0"/>
    <cacheHierarchy uniqueName="[Tabla2].[Cuota S/.]" caption="Cuota S/." attribute="1" defaultMemberUniqueName="[Tabla2].[Cuota S/.].[All]" allUniqueName="[Tabla2].[Cuota S/.].[All]" dimensionUniqueName="[Tabla2]" displayFolder="" count="0" memberValueDatatype="5" unbalanced="0"/>
    <cacheHierarchy uniqueName="[Tabla2].[Cuenta]" caption="Cuenta" attribute="1" defaultMemberUniqueName="[Tabla2].[Cuenta].[All]" allUniqueName="[Tabla2].[Cuenta].[All]" dimensionUniqueName="[Tabla2]" displayFolder="" count="0" memberValueDatatype="130" unbalanced="0"/>
    <cacheHierarchy uniqueName="[Tabla2].[País]" caption="País" attribute="1" defaultMemberUniqueName="[Tabla2].[País].[All]" allUniqueName="[Tabla2].[País].[All]" dimensionUniqueName="[Tabla2]" displayFolder="" count="0" memberValueDatatype="130" unbalanced="0"/>
    <cacheHierarchy uniqueName="[Tabla2].[Área]" caption="Área" attribute="1" defaultMemberUniqueName="[Tabla2].[Área].[All]" allUniqueName="[Tabla2].[Área].[All]" dimensionUniqueName="[Tabla2]" displayFolder="" count="0" memberValueDatatype="130" unbalanced="0"/>
    <cacheHierarchy uniqueName="[Tabla2].[Estado]" caption="Estado" attribute="1" defaultMemberUniqueName="[Tabla2].[Estado].[All]" allUniqueName="[Tabla2].[Estado].[All]" dimensionUniqueName="[Tabla2]" displayFolder="" count="0" memberValueDatatype="130" unbalanced="0"/>
    <cacheHierarchy uniqueName="[Tabla2].[F Venc]" caption="F Venc" attribute="1" defaultMemberUniqueName="[Tabla2].[F Venc].[All]" allUniqueName="[Tabla2].[F Venc].[All]" dimensionUniqueName="[Tabla2]" displayFolder="" count="0" memberValueDatatype="130" unbalanced="0"/>
    <cacheHierarchy uniqueName="[Tabla2].[Fecha pago]" caption="Fecha pago" attribute="1" defaultMemberUniqueName="[Tabla2].[Fecha pago].[All]" allUniqueName="[Tabla2].[Fecha pago].[All]" dimensionUniqueName="[Tabla2]" displayFolder="" count="0" memberValueDatatype="130" unbalanced="0"/>
    <cacheHierarchy uniqueName="[Tabla2].[mm.aa]" caption="mm.aa" attribute="1" time="1" defaultMemberUniqueName="[Tabla2].[mm.aa].[All]" allUniqueName="[Tabla2].[mm.aa].[All]" dimensionUniqueName="[Tabla2]" displayFolder="" count="0" memberValueDatatype="7" unbalanced="0"/>
    <cacheHierarchy uniqueName="[Tabla2].[Sistema]" caption="Sistema" attribute="1" defaultMemberUniqueName="[Tabla2].[Sistema].[All]" allUniqueName="[Tabla2].[Sistema].[All]" dimensionUniqueName="[Tabla2]" displayFolder="" count="0" memberValueDatatype="130" unbalanced="0"/>
    <cacheHierarchy uniqueName="[Tabla2].[Fecha (año)]" caption="Fecha (año)" attribute="1" defaultMemberUniqueName="[Tabla2].[Fecha (año)].[All]" allUniqueName="[Tabla2].[Fecha (año)].[All]" dimensionUniqueName="[Tabla2]" displayFolder="" count="0" memberValueDatatype="130" unbalanced="0"/>
    <cacheHierarchy uniqueName="[Tabla2].[Fecha (trimestre)]" caption="Fecha (trimestre)" attribute="1" defaultMemberUniqueName="[Tabla2].[Fecha (trimestre)].[All]" allUniqueName="[Tabla2].[Fecha (trimestre)].[All]" dimensionUniqueName="[Tabla2]" displayFolder="" count="0" memberValueDatatype="130" unbalanced="0"/>
    <cacheHierarchy uniqueName="[Tabla2].[Fecha (mes)]" caption="Fecha (mes)" attribute="1" defaultMemberUniqueName="[Tabla2].[Fecha (mes)].[All]" allUniqueName="[Tabla2].[Fecha (mes)].[All]" dimensionUniqueName="[Tabla2]" displayFolder="" count="0" memberValueDatatype="130" unbalanced="0"/>
    <cacheHierarchy uniqueName="[Tabla2].[mm.aa (año)]" caption="mm.aa (año)" attribute="1" defaultMemberUniqueName="[Tabla2].[mm.aa (año)].[All]" allUniqueName="[Tabla2].[mm.aa (año)].[All]" dimensionUniqueName="[Tabla2]" displayFolder="" count="0" memberValueDatatype="130" unbalanced="0"/>
    <cacheHierarchy uniqueName="[Tabla2].[mm.aa (trimestre)]" caption="mm.aa (trimestre)" attribute="1" defaultMemberUniqueName="[Tabla2].[mm.aa (trimestre)].[All]" allUniqueName="[Tabla2].[mm.aa (trimestre)].[All]" dimensionUniqueName="[Tabla2]" displayFolder="" count="0" memberValueDatatype="130" unbalanced="0"/>
    <cacheHierarchy uniqueName="[Tabla2].[mm.aa (mes)]" caption="mm.aa (mes)" attribute="1" defaultMemberUniqueName="[Tabla2].[mm.aa (mes)].[All]" allUniqueName="[Tabla2].[mm.aa (mes)].[All]" dimensionUniqueName="[Tabla2]" displayFolder="" count="0" memberValueDatatype="130" unbalanced="0"/>
    <cacheHierarchy uniqueName="[Tabla2].[Mes aprob (año)]" caption="Mes aprob (año)" attribute="1" defaultMemberUniqueName="[Tabla2].[Mes aprob (año)].[All]" allUniqueName="[Tabla2].[Mes aprob (año)].[All]" dimensionUniqueName="[Tabla2]" displayFolder="" count="0" memberValueDatatype="130" unbalanced="0"/>
    <cacheHierarchy uniqueName="[Tabla2].[Mes aprob (trimestre)]" caption="Mes aprob (trimestre)" attribute="1" defaultMemberUniqueName="[Tabla2].[Mes aprob (trimestre)].[All]" allUniqueName="[Tabla2].[Mes aprob (trimestre)].[All]" dimensionUniqueName="[Tabla2]" displayFolder="" count="0" memberValueDatatype="130" unbalanced="0"/>
    <cacheHierarchy uniqueName="[Tabla2].[Mes aprob (mes)]" caption="Mes aprob (mes)" attribute="1" defaultMemberUniqueName="[Tabla2].[Mes aprob (mes)].[All]" allUniqueName="[Tabla2].[Mes aprob (mes)].[All]" dimensionUniqueName="[Tabla2]" displayFolder="" count="0" memberValueDatatype="130" unbalanced="0"/>
    <cacheHierarchy uniqueName="[Tabla1].[Fecha aprobación (índice de meses)]" caption="Fecha aprobación (índice de meses)" attribute="1" defaultMemberUniqueName="[Tabla1].[Fecha aprobación (índice de meses)].[All]" allUniqueName="[Tabla1].[Fecha aprobación (índice de meses)].[All]" dimensionUniqueName="[Tabla1]" displayFolder="" count="0" memberValueDatatype="20" unbalanced="0" hidden="1"/>
    <cacheHierarchy uniqueName="[Tabla2].[Fecha (índice de meses)]" caption="Fecha (índice de meses)" attribute="1" defaultMemberUniqueName="[Tabla2].[Fecha (índice de meses)].[All]" allUniqueName="[Tabla2].[Fecha (índice de meses)].[All]" dimensionUniqueName="[Tabla2]" displayFolder="" count="0" memberValueDatatype="20" unbalanced="0" hidden="1"/>
    <cacheHierarchy uniqueName="[Tabla2].[Mes aprob (índice de meses)]" caption="Mes aprob (índice de meses)" attribute="1" defaultMemberUniqueName="[Tabla2].[Mes aprob (índice de meses)].[All]" allUniqueName="[Tabla2].[Mes aprob (índice de meses)].[All]" dimensionUniqueName="[Tabla2]" displayFolder="" count="0" memberValueDatatype="20" unbalanced="0" hidden="1"/>
    <cacheHierarchy uniqueName="[Tabla2].[mm.aa (índice de meses)]" caption="mm.aa (índice de meses)" attribute="1" defaultMemberUniqueName="[Tabla2].[mm.aa (índice de meses)].[All]" allUniqueName="[Tabla2].[mm.aa (índice de meses)].[All]" dimensionUniqueName="[Tabla2]" displayFolder="" count="0" memberValueDatatype="20" unbalanced="0" hidden="1"/>
    <cacheHierarchy uniqueName="[Measures].[__XL_Count Tabla2]" caption="__XL_Count Tabla2" measure="1" displayFolder="" measureGroup="Tabla2" count="0" hidden="1"/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  <cacheHierarchy uniqueName="[Measures].[Suma de Año Proy]" caption="Suma de Año Proy" measure="1" displayFolder="" measureGroup="Tabla2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Recuento de Proyecto]" caption="Recuento de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e SG5]" caption="Recuento de SG5" measure="1" displayFolder="" measureGroup="Tabla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Recuento de CRM]" caption="Recuento de CRM" measure="1" displayFolder="" measureGroup="Tabla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Exactus]" caption="Recuento de Exactus" measure="1" displayFolder="" measureGroup="Tabla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Recuento de Web]" caption="Recuento de Web" measure="1" displayFolder="" measureGroup="Tabla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Recuento de Estado proyecto]" caption="Recuento de Estado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Ejecutado S/.]" caption="Suma de Ejecutado S/." measure="1" displayFolder="" measureGroup="Tabla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Aprobado S/.]" caption="Suma de Aprobado S/." measure="1" displayFolder="" measureGroup="Tabla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Fecha aprobación]" caption="Recuento de Fecha aprobación" measure="1" displayFolder="" measureGroup="Tabla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a de Presupuesto S/.]" caption="Suma de Presupuesto S/." measure="1" displayFolder="" measureGroup="Tabla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Cuota]" caption="Suma de Cuota" measure="1" displayFolder="" measureGroup="Tabla2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de Año Proy 2]" caption="Suma de Año Proy 2" measure="1" displayFolder="" measureGroup="Tabla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de % Aprob]" caption="Suma de % Aprob" measure="1" displayFolder="" measureGroup="Tabla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% Ejec]" caption="Suma de % Ejec" measure="1" displayFolder="" measureGroup="Tabla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de Cuota S/.]" caption="Suma de Cuota S/." measure="1" displayFolder="" measureGroup="Tabla2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</cacheHierarchies>
  <kpis count="0"/>
  <dimensions count="3">
    <dimension measure="1" name="Measures" uniqueName="[Measures]" caption="Measures"/>
    <dimension name="Tabla1" uniqueName="[Tabla1]" caption="Tabla1"/>
    <dimension name="Tabla2" uniqueName="[Tabla2]" caption="Tabla2"/>
  </dimensions>
  <measureGroups count="2">
    <measureGroup name="Tabla1" caption="Tabla1"/>
    <measureGroup name="Tabla2" caption="Tabla2"/>
  </measureGroups>
  <maps count="3">
    <map measureGroup="0" dimension="1"/>
    <map measureGroup="1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laniz Andrea Arce Castillo" refreshedDate="45495.580685300927" backgroundQuery="1" createdVersion="8" refreshedVersion="8" minRefreshableVersion="3" recordCount="0" supportSubquery="1" supportAdvancedDrill="1" xr:uid="{F9333372-6A99-4618-8E14-DC8E9928A162}">
  <cacheSource type="external" connectionId="1"/>
  <cacheFields count="2">
    <cacheField name="[Measures].[Suma de Ejecutado S/.]" caption="Suma de Ejecutado S/." numFmtId="0" hierarchy="78" level="32767"/>
    <cacheField name="[Tabla1].[Año Proy].[Año Proy]" caption="Año Proy" numFmtId="0" hierarchy="27" level="1">
      <sharedItems containsSemiMixedTypes="0" containsNonDate="0" containsString="0"/>
    </cacheField>
  </cacheFields>
  <cacheHierarchies count="87">
    <cacheHierarchy uniqueName="[Tabla1].[Llave]" caption="Llave" attribute="1" defaultMemberUniqueName="[Tabla1].[Llave].[All]" allUniqueName="[Tabla1].[Llave].[All]" dimensionUniqueName="[Tabla1]" displayFolder="" count="0" memberValueDatatype="130" unbalanced="0"/>
    <cacheHierarchy uniqueName="[Tabla1].[ID]" caption="ID" attribute="1" defaultMemberUniqueName="[Tabla1].[ID].[All]" allUniqueName="[Tabla1].[ID].[All]" dimensionUniqueName="[Tabla1]" displayFolder="" count="0" memberValueDatatype="130" unbalanced="0"/>
    <cacheHierarchy uniqueName="[Tabla1].[Proyecto]" caption="Proyecto" attribute="1" defaultMemberUniqueName="[Tabla1].[Proyecto].[All]" allUniqueName="[Tabla1].[Proyecto].[All]" dimensionUniqueName="[Tabla1]" displayFolder="" count="0" memberValueDatatype="130" unbalanced="0"/>
    <cacheHierarchy uniqueName="[Tabla1].[Alcance]" caption="Alcance" attribute="1" defaultMemberUniqueName="[Tabla1].[Alcance].[All]" allUniqueName="[Tabla1].[Alcance].[All]" dimensionUniqueName="[Tabla1]" displayFolder="" count="0" memberValueDatatype="130" unbalanced="0"/>
    <cacheHierarchy uniqueName="[Tabla1].[Área]" caption="Área" attribute="1" defaultMemberUniqueName="[Tabla1].[Área].[All]" allUniqueName="[Tabla1].[Área].[All]" dimensionUniqueName="[Tabla1]" displayFolder="" count="0" memberValueDatatype="130" unbalanced="0"/>
    <cacheHierarchy uniqueName="[Tabla1].[Sub-Área]" caption="Sub-Área" attribute="1" defaultMemberUniqueName="[Tabla1].[Sub-Área].[All]" allUniqueName="[Tabla1].[Sub-Área].[All]" dimensionUniqueName="[Tabla1]" displayFolder="" count="0" memberValueDatatype="130" unbalanced="0"/>
    <cacheHierarchy uniqueName="[Tabla1].[Involucradas]" caption="Involucradas" attribute="1" defaultMemberUniqueName="[Tabla1].[Involucradas].[All]" allUniqueName="[Tabla1].[Involucradas].[All]" dimensionUniqueName="[Tabla1]" displayFolder="" count="0" memberValueDatatype="130" unbalanced="0"/>
    <cacheHierarchy uniqueName="[Tabla1].[Tamaño]" caption="Tamaño" attribute="1" defaultMemberUniqueName="[Tabla1].[Tamaño].[All]" allUniqueName="[Tabla1].[Tamaño].[All]" dimensionUniqueName="[Tabla1]" displayFolder="" count="0" memberValueDatatype="130" unbalanced="0"/>
    <cacheHierarchy uniqueName="[Tabla1].[Puntaje]" caption="Puntaje" attribute="1" defaultMemberUniqueName="[Tabla1].[Puntaje].[All]" allUniqueName="[Tabla1].[Puntaje].[All]" dimensionUniqueName="[Tabla1]" displayFolder="" count="0" memberValueDatatype="20" unbalanced="0"/>
    <cacheHierarchy uniqueName="[Tabla1].[Esfuerzo]" caption="Esfuerzo" attribute="1" defaultMemberUniqueName="[Tabla1].[Esfuerzo].[All]" allUniqueName="[Tabla1].[Esfuerzo].[All]" dimensionUniqueName="[Tabla1]" displayFolder="" count="0" memberValueDatatype="20" unbalanced="0"/>
    <cacheHierarchy uniqueName="[Tabla1].[Líder]" caption="Líder" attribute="1" defaultMemberUniqueName="[Tabla1].[Líder].[All]" allUniqueName="[Tabla1].[Líder].[All]" dimensionUniqueName="[Tabla1]" displayFolder="" count="0" memberValueDatatype="130" unbalanced="0"/>
    <cacheHierarchy uniqueName="[Tabla1].[P.Manager]" caption="P.Manager" attribute="1" defaultMemberUniqueName="[Tabla1].[P.Manager].[All]" allUniqueName="[Tabla1].[P.Manager].[All]" dimensionUniqueName="[Tabla1]" displayFolder="" count="0" memberValueDatatype="130" unbalanced="0"/>
    <cacheHierarchy uniqueName="[Tabla1].[Estado proyecto]" caption="Estado proyecto" attribute="1" defaultMemberUniqueName="[Tabla1].[Estado proyecto].[All]" allUniqueName="[Tabla1].[Estado proyecto].[All]" dimensionUniqueName="[Tabla1]" displayFolder="" count="0" memberValueDatatype="130" unbalanced="0"/>
    <cacheHierarchy uniqueName="[Tabla1].[Proveedor principal]" caption="Proveedor principal" attribute="1" defaultMemberUniqueName="[Tabla1].[Proveedor principal].[All]" allUniqueName="[Tabla1].[Proveedor principal].[All]" dimensionUniqueName="[Tabla1]" displayFolder="" count="0" memberValueDatatype="130" unbalanced="0"/>
    <cacheHierarchy uniqueName="[Tabla1].[SG5]" caption="SG5" attribute="1" defaultMemberUniqueName="[Tabla1].[SG5].[All]" allUniqueName="[Tabla1].[SG5].[All]" dimensionUniqueName="[Tabla1]" displayFolder="" count="0" memberValueDatatype="130" unbalanced="0"/>
    <cacheHierarchy uniqueName="[Tabla1].[CRM]" caption="CRM" attribute="1" defaultMemberUniqueName="[Tabla1].[CRM].[All]" allUniqueName="[Tabla1].[CRM].[All]" dimensionUniqueName="[Tabla1]" displayFolder="" count="0" memberValueDatatype="130" unbalanced="0"/>
    <cacheHierarchy uniqueName="[Tabla1].[Exactus]" caption="Exactus" attribute="1" defaultMemberUniqueName="[Tabla1].[Exactus].[All]" allUniqueName="[Tabla1].[Exactus].[All]" dimensionUniqueName="[Tabla1]" displayFolder="" count="0" memberValueDatatype="130" unbalanced="0"/>
    <cacheHierarchy uniqueName="[Tabla1].[Web]" caption="Web" attribute="1" defaultMemberUniqueName="[Tabla1].[Web].[All]" allUniqueName="[Tabla1].[Web].[All]" dimensionUniqueName="[Tabla1]" displayFolder="" count="0" memberValueDatatype="130" unbalanced="0"/>
    <cacheHierarchy uniqueName="[Tabla1].[Otros]" caption="Otros" attribute="1" defaultMemberUniqueName="[Tabla1].[Otros].[All]" allUniqueName="[Tabla1].[Otros].[All]" dimensionUniqueName="[Tabla1]" displayFolder="" count="0" memberValueDatatype="130" unbalanced="0"/>
    <cacheHierarchy uniqueName="[Tabla1].[Presupuesto S/.]" caption="Presupuesto S/." attribute="1" defaultMemberUniqueName="[Tabla1].[Presupuesto S/.].[All]" allUniqueName="[Tabla1].[Presupuesto S/.].[All]" dimensionUniqueName="[Tabla1]" displayFolder="" count="0" memberValueDatatype="20" unbalanced="0"/>
    <cacheHierarchy uniqueName="[Tabla1].[Aprobado S/.]" caption="Aprobado S/." attribute="1" defaultMemberUniqueName="[Tabla1].[Aprobado S/.].[All]" allUniqueName="[Tabla1].[Aprobado S/.].[All]" dimensionUniqueName="[Tabla1]" displayFolder="" count="0" memberValueDatatype="20" unbalanced="0"/>
    <cacheHierarchy uniqueName="[Tabla1].[% Aprob]" caption="% Aprob" attribute="1" defaultMemberUniqueName="[Tabla1].[% Aprob].[All]" allUniqueName="[Tabla1].[% Aprob].[All]" dimensionUniqueName="[Tabla1]" displayFolder="" count="0" memberValueDatatype="5" unbalanced="0"/>
    <cacheHierarchy uniqueName="[Tabla1].[Ejecutado S/.]" caption="Ejecutado S/." attribute="1" defaultMemberUniqueName="[Tabla1].[Ejecutado S/.].[All]" allUniqueName="[Tabla1].[Ejecutado S/.].[All]" dimensionUniqueName="[Tabla1]" displayFolder="" count="0" memberValueDatatype="20" unbalanced="0"/>
    <cacheHierarchy uniqueName="[Tabla1].[% Ejec]" caption="% Ejec" attribute="1" defaultMemberUniqueName="[Tabla1].[% Ejec].[All]" allUniqueName="[Tabla1].[% Ejec].[All]" dimensionUniqueName="[Tabla1]" displayFolder="" count="0" memberValueDatatype="5" unbalanced="0"/>
    <cacheHierarchy uniqueName="[Tabla1].[Estado presupuesto]" caption="Estado presupuesto" attribute="1" defaultMemberUniqueName="[Tabla1].[Estado presupuesto].[All]" allUniqueName="[Tabla1].[Estado presupuesto].[All]" dimensionUniqueName="[Tabla1]" displayFolder="" count="0" memberValueDatatype="130" unbalanced="0"/>
    <cacheHierarchy uniqueName="[Tabla1].[Fecha aprobación]" caption="Fecha aprobación" attribute="1" time="1" defaultMemberUniqueName="[Tabla1].[Fecha aprobación].[All]" allUniqueName="[Tabla1].[Fecha aprobación].[All]" dimensionUniqueName="[Tabla1]" displayFolder="" count="0" memberValueDatatype="7" unbalanced="0"/>
    <cacheHierarchy uniqueName="[Tabla1].[mm.aa fch aprob]" caption="mm.aa fch aprob" attribute="1" time="1" defaultMemberUniqueName="[Tabla1].[mm.aa fch aprob].[All]" allUniqueName="[Tabla1].[mm.aa fch aprob].[All]" dimensionUniqueName="[Tabla1]" displayFolder="" count="0" memberValueDatatype="7" unbalanced="0"/>
    <cacheHierarchy uniqueName="[Tabla1].[Año Proy]" caption="Año Proy" attribute="1" defaultMemberUniqueName="[Tabla1].[Año Proy].[All]" allUniqueName="[Tabla1].[Año Proy].[All]" dimensionUniqueName="[Tabla1]" displayFolder="" count="2" memberValueDatatype="20" unbalanced="0">
      <fieldsUsage count="2">
        <fieldUsage x="-1"/>
        <fieldUsage x="1"/>
      </fieldsUsage>
    </cacheHierarchy>
    <cacheHierarchy uniqueName="[Tabla1].[Línea de negocio]" caption="Línea de negocio" attribute="1" defaultMemberUniqueName="[Tabla1].[Línea de negocio].[All]" allUniqueName="[Tabla1].[Línea de negocio].[All]" dimensionUniqueName="[Tabla1]" displayFolder="" count="0" memberValueDatatype="130" unbalanced="0"/>
    <cacheHierarchy uniqueName="[Tabla1].[País]" caption="País" attribute="1" defaultMemberUniqueName="[Tabla1].[País].[All]" allUniqueName="[Tabla1].[País].[All]" dimensionUniqueName="[Tabla1]" displayFolder="" count="0" memberValueDatatype="130" unbalanced="0"/>
    <cacheHierarchy uniqueName="[Tabla1].[Fecha aprobación (mes)]" caption="Fecha aprobación (mes)" attribute="1" defaultMemberUniqueName="[Tabla1].[Fecha aprobación (mes)].[All]" allUniqueName="[Tabla1].[Fecha aprobación (mes)].[All]" dimensionUniqueName="[Tabla1]" displayFolder="" count="0" memberValueDatatype="130" unbalanced="0"/>
    <cacheHierarchy uniqueName="[Tabla2].[Llave]" caption="Llave" attribute="1" defaultMemberUniqueName="[Tabla2].[Llave].[All]" allUniqueName="[Tabla2].[Llave].[All]" dimensionUniqueName="[Tabla2]" displayFolder="" count="0" memberValueDatatype="130" unbalanced="0"/>
    <cacheHierarchy uniqueName="[Tabla2].[ID]" caption="ID" attribute="1" defaultMemberUniqueName="[Tabla2].[ID].[All]" allUniqueName="[Tabla2].[ID].[All]" dimensionUniqueName="[Tabla2]" displayFolder="" count="0" memberValueDatatype="130" unbalanced="0"/>
    <cacheHierarchy uniqueName="[Tabla2].[Año Proy]" caption="Año Proy" attribute="1" defaultMemberUniqueName="[Tabla2].[Año Proy].[All]" allUniqueName="[Tabla2].[Año Proy].[All]" dimensionUniqueName="[Tabla2]" displayFolder="" count="0" memberValueDatatype="20" unbalanced="0"/>
    <cacheHierarchy uniqueName="[Tabla2].[Fecha]" caption="Fecha" attribute="1" time="1" defaultMemberUniqueName="[Tabla2].[Fecha].[All]" allUniqueName="[Tabla2].[Fecha].[All]" dimensionUniqueName="[Tabla2]" displayFolder="" count="0" memberValueDatatype="7" unbalanced="0"/>
    <cacheHierarchy uniqueName="[Tabla2].[Proveedor]" caption="Proveedor" attribute="1" defaultMemberUniqueName="[Tabla2].[Proveedor].[All]" allUniqueName="[Tabla2].[Proveedor].[All]" dimensionUniqueName="[Tabla2]" displayFolder="" count="0" memberValueDatatype="130" unbalanced="0"/>
    <cacheHierarchy uniqueName="[Tabla2].[Código]" caption="Código" attribute="1" defaultMemberUniqueName="[Tabla2].[Código].[All]" allUniqueName="[Tabla2].[Código].[All]" dimensionUniqueName="[Tabla2]" displayFolder="" count="0" memberValueDatatype="130" unbalanced="0"/>
    <cacheHierarchy uniqueName="[Tabla2].[Factura]" caption="Factura" attribute="1" defaultMemberUniqueName="[Tabla2].[Factura].[All]" allUniqueName="[Tabla2].[Factura].[All]" dimensionUniqueName="[Tabla2]" displayFolder="" count="0" memberValueDatatype="130" unbalanced="0"/>
    <cacheHierarchy uniqueName="[Tabla2].[Mes aprob]" caption="Mes aprob" attribute="1" time="1" defaultMemberUniqueName="[Tabla2].[Mes aprob].[All]" allUniqueName="[Tabla2].[Mes aprob].[All]" dimensionUniqueName="[Tabla2]" displayFolder="" count="0" memberValueDatatype="7" unbalanced="0"/>
    <cacheHierarchy uniqueName="[Tabla2].[OS]" caption="OS" attribute="1" defaultMemberUniqueName="[Tabla2].[OS].[All]" allUniqueName="[Tabla2].[OS].[All]" dimensionUniqueName="[Tabla2]" displayFolder="" count="0" memberValueDatatype="130" unbalanced="0"/>
    <cacheHierarchy uniqueName="[Tabla2].[Proyecto]" caption="Proyecto" attribute="1" defaultMemberUniqueName="[Tabla2].[Proyecto].[All]" allUniqueName="[Tabla2].[Proyecto].[All]" dimensionUniqueName="[Tabla2]" displayFolder="" count="0" memberValueDatatype="130" unbalanced="0"/>
    <cacheHierarchy uniqueName="[Tabla2].[# Cuota]" caption="# Cuota" attribute="1" defaultMemberUniqueName="[Tabla2].[# Cuota].[All]" allUniqueName="[Tabla2].[# Cuota].[All]" dimensionUniqueName="[Tabla2]" displayFolder="" count="0" memberValueDatatype="20" unbalanced="0"/>
    <cacheHierarchy uniqueName="[Tabla2].[Detalle cuota]" caption="Detalle cuota" attribute="1" defaultMemberUniqueName="[Tabla2].[Detalle cuota].[All]" allUniqueName="[Tabla2].[Detalle cuota].[All]" dimensionUniqueName="[Tabla2]" displayFolder="" count="0" memberValueDatatype="130" unbalanced="0"/>
    <cacheHierarchy uniqueName="[Tabla2].[Cuota]" caption="Cuota" attribute="1" defaultMemberUniqueName="[Tabla2].[Cuota].[All]" allUniqueName="[Tabla2].[Cuota].[All]" dimensionUniqueName="[Tabla2]" displayFolder="" count="0" memberValueDatatype="5" unbalanced="0"/>
    <cacheHierarchy uniqueName="[Tabla2].[Total cuotas]" caption="Total cuotas" attribute="1" defaultMemberUniqueName="[Tabla2].[Total cuotas].[All]" allUniqueName="[Tabla2].[Total cuotas].[All]" dimensionUniqueName="[Tabla2]" displayFolder="" count="0" memberValueDatatype="20" unbalanced="0"/>
    <cacheHierarchy uniqueName="[Tabla2].[Moneda]" caption="Moneda" attribute="1" defaultMemberUniqueName="[Tabla2].[Moneda].[All]" allUniqueName="[Tabla2].[Moneda].[All]" dimensionUniqueName="[Tabla2]" displayFolder="" count="0" memberValueDatatype="130" unbalanced="0"/>
    <cacheHierarchy uniqueName="[Tabla2].[Cuota S/.]" caption="Cuota S/." attribute="1" defaultMemberUniqueName="[Tabla2].[Cuota S/.].[All]" allUniqueName="[Tabla2].[Cuota S/.].[All]" dimensionUniqueName="[Tabla2]" displayFolder="" count="0" memberValueDatatype="5" unbalanced="0"/>
    <cacheHierarchy uniqueName="[Tabla2].[Cuenta]" caption="Cuenta" attribute="1" defaultMemberUniqueName="[Tabla2].[Cuenta].[All]" allUniqueName="[Tabla2].[Cuenta].[All]" dimensionUniqueName="[Tabla2]" displayFolder="" count="0" memberValueDatatype="130" unbalanced="0"/>
    <cacheHierarchy uniqueName="[Tabla2].[País]" caption="País" attribute="1" defaultMemberUniqueName="[Tabla2].[País].[All]" allUniqueName="[Tabla2].[País].[All]" dimensionUniqueName="[Tabla2]" displayFolder="" count="0" memberValueDatatype="130" unbalanced="0"/>
    <cacheHierarchy uniqueName="[Tabla2].[Área]" caption="Área" attribute="1" defaultMemberUniqueName="[Tabla2].[Área].[All]" allUniqueName="[Tabla2].[Área].[All]" dimensionUniqueName="[Tabla2]" displayFolder="" count="0" memberValueDatatype="130" unbalanced="0"/>
    <cacheHierarchy uniqueName="[Tabla2].[Estado]" caption="Estado" attribute="1" defaultMemberUniqueName="[Tabla2].[Estado].[All]" allUniqueName="[Tabla2].[Estado].[All]" dimensionUniqueName="[Tabla2]" displayFolder="" count="0" memberValueDatatype="130" unbalanced="0"/>
    <cacheHierarchy uniqueName="[Tabla2].[F Venc]" caption="F Venc" attribute="1" defaultMemberUniqueName="[Tabla2].[F Venc].[All]" allUniqueName="[Tabla2].[F Venc].[All]" dimensionUniqueName="[Tabla2]" displayFolder="" count="0" memberValueDatatype="130" unbalanced="0"/>
    <cacheHierarchy uniqueName="[Tabla2].[Fecha pago]" caption="Fecha pago" attribute="1" defaultMemberUniqueName="[Tabla2].[Fecha pago].[All]" allUniqueName="[Tabla2].[Fecha pago].[All]" dimensionUniqueName="[Tabla2]" displayFolder="" count="0" memberValueDatatype="130" unbalanced="0"/>
    <cacheHierarchy uniqueName="[Tabla2].[mm.aa]" caption="mm.aa" attribute="1" time="1" defaultMemberUniqueName="[Tabla2].[mm.aa].[All]" allUniqueName="[Tabla2].[mm.aa].[All]" dimensionUniqueName="[Tabla2]" displayFolder="" count="0" memberValueDatatype="7" unbalanced="0"/>
    <cacheHierarchy uniqueName="[Tabla2].[Sistema]" caption="Sistema" attribute="1" defaultMemberUniqueName="[Tabla2].[Sistema].[All]" allUniqueName="[Tabla2].[Sistema].[All]" dimensionUniqueName="[Tabla2]" displayFolder="" count="0" memberValueDatatype="130" unbalanced="0"/>
    <cacheHierarchy uniqueName="[Tabla2].[Fecha (año)]" caption="Fecha (año)" attribute="1" defaultMemberUniqueName="[Tabla2].[Fecha (año)].[All]" allUniqueName="[Tabla2].[Fecha (año)].[All]" dimensionUniqueName="[Tabla2]" displayFolder="" count="0" memberValueDatatype="130" unbalanced="0"/>
    <cacheHierarchy uniqueName="[Tabla2].[Fecha (trimestre)]" caption="Fecha (trimestre)" attribute="1" defaultMemberUniqueName="[Tabla2].[Fecha (trimestre)].[All]" allUniqueName="[Tabla2].[Fecha (trimestre)].[All]" dimensionUniqueName="[Tabla2]" displayFolder="" count="0" memberValueDatatype="130" unbalanced="0"/>
    <cacheHierarchy uniqueName="[Tabla2].[Fecha (mes)]" caption="Fecha (mes)" attribute="1" defaultMemberUniqueName="[Tabla2].[Fecha (mes)].[All]" allUniqueName="[Tabla2].[Fecha (mes)].[All]" dimensionUniqueName="[Tabla2]" displayFolder="" count="0" memberValueDatatype="130" unbalanced="0"/>
    <cacheHierarchy uniqueName="[Tabla2].[mm.aa (año)]" caption="mm.aa (año)" attribute="1" defaultMemberUniqueName="[Tabla2].[mm.aa (año)].[All]" allUniqueName="[Tabla2].[mm.aa (año)].[All]" dimensionUniqueName="[Tabla2]" displayFolder="" count="0" memberValueDatatype="130" unbalanced="0"/>
    <cacheHierarchy uniqueName="[Tabla2].[mm.aa (trimestre)]" caption="mm.aa (trimestre)" attribute="1" defaultMemberUniqueName="[Tabla2].[mm.aa (trimestre)].[All]" allUniqueName="[Tabla2].[mm.aa (trimestre)].[All]" dimensionUniqueName="[Tabla2]" displayFolder="" count="0" memberValueDatatype="130" unbalanced="0"/>
    <cacheHierarchy uniqueName="[Tabla2].[mm.aa (mes)]" caption="mm.aa (mes)" attribute="1" defaultMemberUniqueName="[Tabla2].[mm.aa (mes)].[All]" allUniqueName="[Tabla2].[mm.aa (mes)].[All]" dimensionUniqueName="[Tabla2]" displayFolder="" count="0" memberValueDatatype="130" unbalanced="0"/>
    <cacheHierarchy uniqueName="[Tabla2].[Mes aprob (año)]" caption="Mes aprob (año)" attribute="1" defaultMemberUniqueName="[Tabla2].[Mes aprob (año)].[All]" allUniqueName="[Tabla2].[Mes aprob (año)].[All]" dimensionUniqueName="[Tabla2]" displayFolder="" count="0" memberValueDatatype="130" unbalanced="0"/>
    <cacheHierarchy uniqueName="[Tabla2].[Mes aprob (trimestre)]" caption="Mes aprob (trimestre)" attribute="1" defaultMemberUniqueName="[Tabla2].[Mes aprob (trimestre)].[All]" allUniqueName="[Tabla2].[Mes aprob (trimestre)].[All]" dimensionUniqueName="[Tabla2]" displayFolder="" count="0" memberValueDatatype="130" unbalanced="0"/>
    <cacheHierarchy uniqueName="[Tabla2].[Mes aprob (mes)]" caption="Mes aprob (mes)" attribute="1" defaultMemberUniqueName="[Tabla2].[Mes aprob (mes)].[All]" allUniqueName="[Tabla2].[Mes aprob (mes)].[All]" dimensionUniqueName="[Tabla2]" displayFolder="" count="0" memberValueDatatype="130" unbalanced="0"/>
    <cacheHierarchy uniqueName="[Tabla1].[Fecha aprobación (índice de meses)]" caption="Fecha aprobación (índice de meses)" attribute="1" defaultMemberUniqueName="[Tabla1].[Fecha aprobación (índice de meses)].[All]" allUniqueName="[Tabla1].[Fecha aprobación (índice de meses)].[All]" dimensionUniqueName="[Tabla1]" displayFolder="" count="0" memberValueDatatype="20" unbalanced="0" hidden="1"/>
    <cacheHierarchy uniqueName="[Tabla2].[Fecha (índice de meses)]" caption="Fecha (índice de meses)" attribute="1" defaultMemberUniqueName="[Tabla2].[Fecha (índice de meses)].[All]" allUniqueName="[Tabla2].[Fecha (índice de meses)].[All]" dimensionUniqueName="[Tabla2]" displayFolder="" count="0" memberValueDatatype="20" unbalanced="0" hidden="1"/>
    <cacheHierarchy uniqueName="[Tabla2].[Mes aprob (índice de meses)]" caption="Mes aprob (índice de meses)" attribute="1" defaultMemberUniqueName="[Tabla2].[Mes aprob (índice de meses)].[All]" allUniqueName="[Tabla2].[Mes aprob (índice de meses)].[All]" dimensionUniqueName="[Tabla2]" displayFolder="" count="0" memberValueDatatype="20" unbalanced="0" hidden="1"/>
    <cacheHierarchy uniqueName="[Tabla2].[mm.aa (índice de meses)]" caption="mm.aa (índice de meses)" attribute="1" defaultMemberUniqueName="[Tabla2].[mm.aa (índice de meses)].[All]" allUniqueName="[Tabla2].[mm.aa (índice de meses)].[All]" dimensionUniqueName="[Tabla2]" displayFolder="" count="0" memberValueDatatype="20" unbalanced="0" hidden="1"/>
    <cacheHierarchy uniqueName="[Measures].[__XL_Count Tabla2]" caption="__XL_Count Tabla2" measure="1" displayFolder="" measureGroup="Tabla2" count="0" hidden="1"/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  <cacheHierarchy uniqueName="[Measures].[Suma de Año Proy]" caption="Suma de Año Proy" measure="1" displayFolder="" measureGroup="Tabla2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Recuento de Proyecto]" caption="Recuento de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e SG5]" caption="Recuento de SG5" measure="1" displayFolder="" measureGroup="Tabla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Recuento de CRM]" caption="Recuento de CRM" measure="1" displayFolder="" measureGroup="Tabla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Exactus]" caption="Recuento de Exactus" measure="1" displayFolder="" measureGroup="Tabla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Recuento de Web]" caption="Recuento de Web" measure="1" displayFolder="" measureGroup="Tabla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Recuento de Estado proyecto]" caption="Recuento de Estado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Ejecutado S/.]" caption="Suma de Ejecutado S/." measure="1" displayFolder="" measureGroup="Tabla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Aprobado S/.]" caption="Suma de Aprobado S/." measure="1" displayFolder="" measureGroup="Tabla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Fecha aprobación]" caption="Recuento de Fecha aprobación" measure="1" displayFolder="" measureGroup="Tabla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a de Presupuesto S/.]" caption="Suma de Presupuesto S/." measure="1" displayFolder="" measureGroup="Tabla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Cuota]" caption="Suma de Cuota" measure="1" displayFolder="" measureGroup="Tabla2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de Año Proy 2]" caption="Suma de Año Proy 2" measure="1" displayFolder="" measureGroup="Tabla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de % Aprob]" caption="Suma de % Aprob" measure="1" displayFolder="" measureGroup="Tabla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% Ejec]" caption="Suma de % Ejec" measure="1" displayFolder="" measureGroup="Tabla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de Cuota S/.]" caption="Suma de Cuota S/." measure="1" displayFolder="" measureGroup="Tabla2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</cacheHierarchies>
  <kpis count="0"/>
  <dimensions count="3">
    <dimension measure="1" name="Measures" uniqueName="[Measures]" caption="Measures"/>
    <dimension name="Tabla1" uniqueName="[Tabla1]" caption="Tabla1"/>
    <dimension name="Tabla2" uniqueName="[Tabla2]" caption="Tabla2"/>
  </dimensions>
  <measureGroups count="2">
    <measureGroup name="Tabla1" caption="Tabla1"/>
    <measureGroup name="Tabla2" caption="Tabla2"/>
  </measureGroups>
  <maps count="3">
    <map measureGroup="0" dimension="1"/>
    <map measureGroup="1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laniz Andrea Arce Castillo" refreshedDate="45495.580685416666" backgroundQuery="1" createdVersion="8" refreshedVersion="8" minRefreshableVersion="3" recordCount="0" supportSubquery="1" supportAdvancedDrill="1" xr:uid="{7CF09874-F99C-4A75-8531-12996D2EB854}">
  <cacheSource type="external" connectionId="1"/>
  <cacheFields count="4">
    <cacheField name="[Measures].[Recuento de Proyecto]" caption="Recuento de Proyecto" numFmtId="0" hierarchy="72" level="32767"/>
    <cacheField name="[Tabla1].[Estado presupuesto].[Estado presupuesto]" caption="Estado presupuesto" numFmtId="0" hierarchy="24" level="1">
      <sharedItems containsSemiMixedTypes="0" containsNonDate="0" containsString="0"/>
    </cacheField>
    <cacheField name="[Tabla1].[Estado proyecto].[Estado proyecto]" caption="Estado proyecto" numFmtId="0" hierarchy="12" level="1">
      <sharedItems containsSemiMixedTypes="0" containsNonDate="0" containsString="0"/>
    </cacheField>
    <cacheField name="[Tabla1].[Año Proy].[Año Proy]" caption="Año Proy" numFmtId="0" hierarchy="27" level="1">
      <sharedItems containsSemiMixedTypes="0" containsNonDate="0" containsString="0"/>
    </cacheField>
  </cacheFields>
  <cacheHierarchies count="87">
    <cacheHierarchy uniqueName="[Tabla1].[Llave]" caption="Llave" attribute="1" defaultMemberUniqueName="[Tabla1].[Llave].[All]" allUniqueName="[Tabla1].[Llave].[All]" dimensionUniqueName="[Tabla1]" displayFolder="" count="0" memberValueDatatype="130" unbalanced="0"/>
    <cacheHierarchy uniqueName="[Tabla1].[ID]" caption="ID" attribute="1" defaultMemberUniqueName="[Tabla1].[ID].[All]" allUniqueName="[Tabla1].[ID].[All]" dimensionUniqueName="[Tabla1]" displayFolder="" count="0" memberValueDatatype="130" unbalanced="0"/>
    <cacheHierarchy uniqueName="[Tabla1].[Proyecto]" caption="Proyecto" attribute="1" defaultMemberUniqueName="[Tabla1].[Proyecto].[All]" allUniqueName="[Tabla1].[Proyecto].[All]" dimensionUniqueName="[Tabla1]" displayFolder="" count="0" memberValueDatatype="130" unbalanced="0"/>
    <cacheHierarchy uniqueName="[Tabla1].[Alcance]" caption="Alcance" attribute="1" defaultMemberUniqueName="[Tabla1].[Alcance].[All]" allUniqueName="[Tabla1].[Alcance].[All]" dimensionUniqueName="[Tabla1]" displayFolder="" count="0" memberValueDatatype="130" unbalanced="0"/>
    <cacheHierarchy uniqueName="[Tabla1].[Área]" caption="Área" attribute="1" defaultMemberUniqueName="[Tabla1].[Área].[All]" allUniqueName="[Tabla1].[Área].[All]" dimensionUniqueName="[Tabla1]" displayFolder="" count="0" memberValueDatatype="130" unbalanced="0"/>
    <cacheHierarchy uniqueName="[Tabla1].[Sub-Área]" caption="Sub-Área" attribute="1" defaultMemberUniqueName="[Tabla1].[Sub-Área].[All]" allUniqueName="[Tabla1].[Sub-Área].[All]" dimensionUniqueName="[Tabla1]" displayFolder="" count="0" memberValueDatatype="130" unbalanced="0"/>
    <cacheHierarchy uniqueName="[Tabla1].[Involucradas]" caption="Involucradas" attribute="1" defaultMemberUniqueName="[Tabla1].[Involucradas].[All]" allUniqueName="[Tabla1].[Involucradas].[All]" dimensionUniqueName="[Tabla1]" displayFolder="" count="0" memberValueDatatype="130" unbalanced="0"/>
    <cacheHierarchy uniqueName="[Tabla1].[Tamaño]" caption="Tamaño" attribute="1" defaultMemberUniqueName="[Tabla1].[Tamaño].[All]" allUniqueName="[Tabla1].[Tamaño].[All]" dimensionUniqueName="[Tabla1]" displayFolder="" count="0" memberValueDatatype="130" unbalanced="0"/>
    <cacheHierarchy uniqueName="[Tabla1].[Puntaje]" caption="Puntaje" attribute="1" defaultMemberUniqueName="[Tabla1].[Puntaje].[All]" allUniqueName="[Tabla1].[Puntaje].[All]" dimensionUniqueName="[Tabla1]" displayFolder="" count="0" memberValueDatatype="20" unbalanced="0"/>
    <cacheHierarchy uniqueName="[Tabla1].[Esfuerzo]" caption="Esfuerzo" attribute="1" defaultMemberUniqueName="[Tabla1].[Esfuerzo].[All]" allUniqueName="[Tabla1].[Esfuerzo].[All]" dimensionUniqueName="[Tabla1]" displayFolder="" count="0" memberValueDatatype="20" unbalanced="0"/>
    <cacheHierarchy uniqueName="[Tabla1].[Líder]" caption="Líder" attribute="1" defaultMemberUniqueName="[Tabla1].[Líder].[All]" allUniqueName="[Tabla1].[Líder].[All]" dimensionUniqueName="[Tabla1]" displayFolder="" count="0" memberValueDatatype="130" unbalanced="0"/>
    <cacheHierarchy uniqueName="[Tabla1].[P.Manager]" caption="P.Manager" attribute="1" defaultMemberUniqueName="[Tabla1].[P.Manager].[All]" allUniqueName="[Tabla1].[P.Manager].[All]" dimensionUniqueName="[Tabla1]" displayFolder="" count="0" memberValueDatatype="130" unbalanced="0"/>
    <cacheHierarchy uniqueName="[Tabla1].[Estado proyecto]" caption="Estado proyecto" attribute="1" defaultMemberUniqueName="[Tabla1].[Estado proyecto].[All]" allUniqueName="[Tabla1].[Estado proyecto].[All]" dimensionUniqueName="[Tabla1]" displayFolder="" count="2" memberValueDatatype="130" unbalanced="0">
      <fieldsUsage count="2">
        <fieldUsage x="-1"/>
        <fieldUsage x="2"/>
      </fieldsUsage>
    </cacheHierarchy>
    <cacheHierarchy uniqueName="[Tabla1].[Proveedor principal]" caption="Proveedor principal" attribute="1" defaultMemberUniqueName="[Tabla1].[Proveedor principal].[All]" allUniqueName="[Tabla1].[Proveedor principal].[All]" dimensionUniqueName="[Tabla1]" displayFolder="" count="0" memberValueDatatype="130" unbalanced="0"/>
    <cacheHierarchy uniqueName="[Tabla1].[SG5]" caption="SG5" attribute="1" defaultMemberUniqueName="[Tabla1].[SG5].[All]" allUniqueName="[Tabla1].[SG5].[All]" dimensionUniqueName="[Tabla1]" displayFolder="" count="0" memberValueDatatype="130" unbalanced="0"/>
    <cacheHierarchy uniqueName="[Tabla1].[CRM]" caption="CRM" attribute="1" defaultMemberUniqueName="[Tabla1].[CRM].[All]" allUniqueName="[Tabla1].[CRM].[All]" dimensionUniqueName="[Tabla1]" displayFolder="" count="0" memberValueDatatype="130" unbalanced="0"/>
    <cacheHierarchy uniqueName="[Tabla1].[Exactus]" caption="Exactus" attribute="1" defaultMemberUniqueName="[Tabla1].[Exactus].[All]" allUniqueName="[Tabla1].[Exactus].[All]" dimensionUniqueName="[Tabla1]" displayFolder="" count="0" memberValueDatatype="130" unbalanced="0"/>
    <cacheHierarchy uniqueName="[Tabla1].[Web]" caption="Web" attribute="1" defaultMemberUniqueName="[Tabla1].[Web].[All]" allUniqueName="[Tabla1].[Web].[All]" dimensionUniqueName="[Tabla1]" displayFolder="" count="0" memberValueDatatype="130" unbalanced="0"/>
    <cacheHierarchy uniqueName="[Tabla1].[Otros]" caption="Otros" attribute="1" defaultMemberUniqueName="[Tabla1].[Otros].[All]" allUniqueName="[Tabla1].[Otros].[All]" dimensionUniqueName="[Tabla1]" displayFolder="" count="0" memberValueDatatype="130" unbalanced="0"/>
    <cacheHierarchy uniqueName="[Tabla1].[Presupuesto S/.]" caption="Presupuesto S/." attribute="1" defaultMemberUniqueName="[Tabla1].[Presupuesto S/.].[All]" allUniqueName="[Tabla1].[Presupuesto S/.].[All]" dimensionUniqueName="[Tabla1]" displayFolder="" count="0" memberValueDatatype="20" unbalanced="0"/>
    <cacheHierarchy uniqueName="[Tabla1].[Aprobado S/.]" caption="Aprobado S/." attribute="1" defaultMemberUniqueName="[Tabla1].[Aprobado S/.].[All]" allUniqueName="[Tabla1].[Aprobado S/.].[All]" dimensionUniqueName="[Tabla1]" displayFolder="" count="0" memberValueDatatype="20" unbalanced="0"/>
    <cacheHierarchy uniqueName="[Tabla1].[% Aprob]" caption="% Aprob" attribute="1" defaultMemberUniqueName="[Tabla1].[% Aprob].[All]" allUniqueName="[Tabla1].[% Aprob].[All]" dimensionUniqueName="[Tabla1]" displayFolder="" count="0" memberValueDatatype="5" unbalanced="0"/>
    <cacheHierarchy uniqueName="[Tabla1].[Ejecutado S/.]" caption="Ejecutado S/." attribute="1" defaultMemberUniqueName="[Tabla1].[Ejecutado S/.].[All]" allUniqueName="[Tabla1].[Ejecutado S/.].[All]" dimensionUniqueName="[Tabla1]" displayFolder="" count="0" memberValueDatatype="20" unbalanced="0"/>
    <cacheHierarchy uniqueName="[Tabla1].[% Ejec]" caption="% Ejec" attribute="1" defaultMemberUniqueName="[Tabla1].[% Ejec].[All]" allUniqueName="[Tabla1].[% Ejec].[All]" dimensionUniqueName="[Tabla1]" displayFolder="" count="0" memberValueDatatype="5" unbalanced="0"/>
    <cacheHierarchy uniqueName="[Tabla1].[Estado presupuesto]" caption="Estado presupuesto" attribute="1" defaultMemberUniqueName="[Tabla1].[Estado presupuesto].[All]" allUniqueName="[Tabla1].[Estado presupuesto].[All]" dimensionUniqueName="[Tabla1]" displayFolder="" count="2" memberValueDatatype="130" unbalanced="0">
      <fieldsUsage count="2">
        <fieldUsage x="-1"/>
        <fieldUsage x="1"/>
      </fieldsUsage>
    </cacheHierarchy>
    <cacheHierarchy uniqueName="[Tabla1].[Fecha aprobación]" caption="Fecha aprobación" attribute="1" time="1" defaultMemberUniqueName="[Tabla1].[Fecha aprobación].[All]" allUniqueName="[Tabla1].[Fecha aprobación].[All]" dimensionUniqueName="[Tabla1]" displayFolder="" count="0" memberValueDatatype="7" unbalanced="0"/>
    <cacheHierarchy uniqueName="[Tabla1].[mm.aa fch aprob]" caption="mm.aa fch aprob" attribute="1" time="1" defaultMemberUniqueName="[Tabla1].[mm.aa fch aprob].[All]" allUniqueName="[Tabla1].[mm.aa fch aprob].[All]" dimensionUniqueName="[Tabla1]" displayFolder="" count="0" memberValueDatatype="7" unbalanced="0"/>
    <cacheHierarchy uniqueName="[Tabla1].[Año Proy]" caption="Año Proy" attribute="1" defaultMemberUniqueName="[Tabla1].[Año Proy].[All]" allUniqueName="[Tabla1].[Año Proy].[All]" dimensionUniqueName="[Tabla1]" displayFolder="" count="2" memberValueDatatype="20" unbalanced="0">
      <fieldsUsage count="2">
        <fieldUsage x="-1"/>
        <fieldUsage x="3"/>
      </fieldsUsage>
    </cacheHierarchy>
    <cacheHierarchy uniqueName="[Tabla1].[Línea de negocio]" caption="Línea de negocio" attribute="1" defaultMemberUniqueName="[Tabla1].[Línea de negocio].[All]" allUniqueName="[Tabla1].[Línea de negocio].[All]" dimensionUniqueName="[Tabla1]" displayFolder="" count="0" memberValueDatatype="130" unbalanced="0"/>
    <cacheHierarchy uniqueName="[Tabla1].[País]" caption="País" attribute="1" defaultMemberUniqueName="[Tabla1].[País].[All]" allUniqueName="[Tabla1].[País].[All]" dimensionUniqueName="[Tabla1]" displayFolder="" count="0" memberValueDatatype="130" unbalanced="0"/>
    <cacheHierarchy uniqueName="[Tabla1].[Fecha aprobación (mes)]" caption="Fecha aprobación (mes)" attribute="1" defaultMemberUniqueName="[Tabla1].[Fecha aprobación (mes)].[All]" allUniqueName="[Tabla1].[Fecha aprobación (mes)].[All]" dimensionUniqueName="[Tabla1]" displayFolder="" count="0" memberValueDatatype="130" unbalanced="0"/>
    <cacheHierarchy uniqueName="[Tabla2].[Llave]" caption="Llave" attribute="1" defaultMemberUniqueName="[Tabla2].[Llave].[All]" allUniqueName="[Tabla2].[Llave].[All]" dimensionUniqueName="[Tabla2]" displayFolder="" count="0" memberValueDatatype="130" unbalanced="0"/>
    <cacheHierarchy uniqueName="[Tabla2].[ID]" caption="ID" attribute="1" defaultMemberUniqueName="[Tabla2].[ID].[All]" allUniqueName="[Tabla2].[ID].[All]" dimensionUniqueName="[Tabla2]" displayFolder="" count="0" memberValueDatatype="130" unbalanced="0"/>
    <cacheHierarchy uniqueName="[Tabla2].[Año Proy]" caption="Año Proy" attribute="1" defaultMemberUniqueName="[Tabla2].[Año Proy].[All]" allUniqueName="[Tabla2].[Año Proy].[All]" dimensionUniqueName="[Tabla2]" displayFolder="" count="0" memberValueDatatype="20" unbalanced="0"/>
    <cacheHierarchy uniqueName="[Tabla2].[Fecha]" caption="Fecha" attribute="1" time="1" defaultMemberUniqueName="[Tabla2].[Fecha].[All]" allUniqueName="[Tabla2].[Fecha].[All]" dimensionUniqueName="[Tabla2]" displayFolder="" count="0" memberValueDatatype="7" unbalanced="0"/>
    <cacheHierarchy uniqueName="[Tabla2].[Proveedor]" caption="Proveedor" attribute="1" defaultMemberUniqueName="[Tabla2].[Proveedor].[All]" allUniqueName="[Tabla2].[Proveedor].[All]" dimensionUniqueName="[Tabla2]" displayFolder="" count="0" memberValueDatatype="130" unbalanced="0"/>
    <cacheHierarchy uniqueName="[Tabla2].[Código]" caption="Código" attribute="1" defaultMemberUniqueName="[Tabla2].[Código].[All]" allUniqueName="[Tabla2].[Código].[All]" dimensionUniqueName="[Tabla2]" displayFolder="" count="0" memberValueDatatype="130" unbalanced="0"/>
    <cacheHierarchy uniqueName="[Tabla2].[Factura]" caption="Factura" attribute="1" defaultMemberUniqueName="[Tabla2].[Factura].[All]" allUniqueName="[Tabla2].[Factura].[All]" dimensionUniqueName="[Tabla2]" displayFolder="" count="0" memberValueDatatype="130" unbalanced="0"/>
    <cacheHierarchy uniqueName="[Tabla2].[Mes aprob]" caption="Mes aprob" attribute="1" time="1" defaultMemberUniqueName="[Tabla2].[Mes aprob].[All]" allUniqueName="[Tabla2].[Mes aprob].[All]" dimensionUniqueName="[Tabla2]" displayFolder="" count="0" memberValueDatatype="7" unbalanced="0"/>
    <cacheHierarchy uniqueName="[Tabla2].[OS]" caption="OS" attribute="1" defaultMemberUniqueName="[Tabla2].[OS].[All]" allUniqueName="[Tabla2].[OS].[All]" dimensionUniqueName="[Tabla2]" displayFolder="" count="0" memberValueDatatype="130" unbalanced="0"/>
    <cacheHierarchy uniqueName="[Tabla2].[Proyecto]" caption="Proyecto" attribute="1" defaultMemberUniqueName="[Tabla2].[Proyecto].[All]" allUniqueName="[Tabla2].[Proyecto].[All]" dimensionUniqueName="[Tabla2]" displayFolder="" count="0" memberValueDatatype="130" unbalanced="0"/>
    <cacheHierarchy uniqueName="[Tabla2].[# Cuota]" caption="# Cuota" attribute="1" defaultMemberUniqueName="[Tabla2].[# Cuota].[All]" allUniqueName="[Tabla2].[# Cuota].[All]" dimensionUniqueName="[Tabla2]" displayFolder="" count="0" memberValueDatatype="20" unbalanced="0"/>
    <cacheHierarchy uniqueName="[Tabla2].[Detalle cuota]" caption="Detalle cuota" attribute="1" defaultMemberUniqueName="[Tabla2].[Detalle cuota].[All]" allUniqueName="[Tabla2].[Detalle cuota].[All]" dimensionUniqueName="[Tabla2]" displayFolder="" count="0" memberValueDatatype="130" unbalanced="0"/>
    <cacheHierarchy uniqueName="[Tabla2].[Cuota]" caption="Cuota" attribute="1" defaultMemberUniqueName="[Tabla2].[Cuota].[All]" allUniqueName="[Tabla2].[Cuota].[All]" dimensionUniqueName="[Tabla2]" displayFolder="" count="0" memberValueDatatype="5" unbalanced="0"/>
    <cacheHierarchy uniqueName="[Tabla2].[Total cuotas]" caption="Total cuotas" attribute="1" defaultMemberUniqueName="[Tabla2].[Total cuotas].[All]" allUniqueName="[Tabla2].[Total cuotas].[All]" dimensionUniqueName="[Tabla2]" displayFolder="" count="0" memberValueDatatype="20" unbalanced="0"/>
    <cacheHierarchy uniqueName="[Tabla2].[Moneda]" caption="Moneda" attribute="1" defaultMemberUniqueName="[Tabla2].[Moneda].[All]" allUniqueName="[Tabla2].[Moneda].[All]" dimensionUniqueName="[Tabla2]" displayFolder="" count="0" memberValueDatatype="130" unbalanced="0"/>
    <cacheHierarchy uniqueName="[Tabla2].[Cuota S/.]" caption="Cuota S/." attribute="1" defaultMemberUniqueName="[Tabla2].[Cuota S/.].[All]" allUniqueName="[Tabla2].[Cuota S/.].[All]" dimensionUniqueName="[Tabla2]" displayFolder="" count="0" memberValueDatatype="5" unbalanced="0"/>
    <cacheHierarchy uniqueName="[Tabla2].[Cuenta]" caption="Cuenta" attribute="1" defaultMemberUniqueName="[Tabla2].[Cuenta].[All]" allUniqueName="[Tabla2].[Cuenta].[All]" dimensionUniqueName="[Tabla2]" displayFolder="" count="0" memberValueDatatype="130" unbalanced="0"/>
    <cacheHierarchy uniqueName="[Tabla2].[País]" caption="País" attribute="1" defaultMemberUniqueName="[Tabla2].[País].[All]" allUniqueName="[Tabla2].[País].[All]" dimensionUniqueName="[Tabla2]" displayFolder="" count="0" memberValueDatatype="130" unbalanced="0"/>
    <cacheHierarchy uniqueName="[Tabla2].[Área]" caption="Área" attribute="1" defaultMemberUniqueName="[Tabla2].[Área].[All]" allUniqueName="[Tabla2].[Área].[All]" dimensionUniqueName="[Tabla2]" displayFolder="" count="0" memberValueDatatype="130" unbalanced="0"/>
    <cacheHierarchy uniqueName="[Tabla2].[Estado]" caption="Estado" attribute="1" defaultMemberUniqueName="[Tabla2].[Estado].[All]" allUniqueName="[Tabla2].[Estado].[All]" dimensionUniqueName="[Tabla2]" displayFolder="" count="0" memberValueDatatype="130" unbalanced="0"/>
    <cacheHierarchy uniqueName="[Tabla2].[F Venc]" caption="F Venc" attribute="1" defaultMemberUniqueName="[Tabla2].[F Venc].[All]" allUniqueName="[Tabla2].[F Venc].[All]" dimensionUniqueName="[Tabla2]" displayFolder="" count="0" memberValueDatatype="130" unbalanced="0"/>
    <cacheHierarchy uniqueName="[Tabla2].[Fecha pago]" caption="Fecha pago" attribute="1" defaultMemberUniqueName="[Tabla2].[Fecha pago].[All]" allUniqueName="[Tabla2].[Fecha pago].[All]" dimensionUniqueName="[Tabla2]" displayFolder="" count="0" memberValueDatatype="130" unbalanced="0"/>
    <cacheHierarchy uniqueName="[Tabla2].[mm.aa]" caption="mm.aa" attribute="1" time="1" defaultMemberUniqueName="[Tabla2].[mm.aa].[All]" allUniqueName="[Tabla2].[mm.aa].[All]" dimensionUniqueName="[Tabla2]" displayFolder="" count="0" memberValueDatatype="7" unbalanced="0"/>
    <cacheHierarchy uniqueName="[Tabla2].[Sistema]" caption="Sistema" attribute="1" defaultMemberUniqueName="[Tabla2].[Sistema].[All]" allUniqueName="[Tabla2].[Sistema].[All]" dimensionUniqueName="[Tabla2]" displayFolder="" count="0" memberValueDatatype="130" unbalanced="0"/>
    <cacheHierarchy uniqueName="[Tabla2].[Fecha (año)]" caption="Fecha (año)" attribute="1" defaultMemberUniqueName="[Tabla2].[Fecha (año)].[All]" allUniqueName="[Tabla2].[Fecha (año)].[All]" dimensionUniqueName="[Tabla2]" displayFolder="" count="0" memberValueDatatype="130" unbalanced="0"/>
    <cacheHierarchy uniqueName="[Tabla2].[Fecha (trimestre)]" caption="Fecha (trimestre)" attribute="1" defaultMemberUniqueName="[Tabla2].[Fecha (trimestre)].[All]" allUniqueName="[Tabla2].[Fecha (trimestre)].[All]" dimensionUniqueName="[Tabla2]" displayFolder="" count="0" memberValueDatatype="130" unbalanced="0"/>
    <cacheHierarchy uniqueName="[Tabla2].[Fecha (mes)]" caption="Fecha (mes)" attribute="1" defaultMemberUniqueName="[Tabla2].[Fecha (mes)].[All]" allUniqueName="[Tabla2].[Fecha (mes)].[All]" dimensionUniqueName="[Tabla2]" displayFolder="" count="0" memberValueDatatype="130" unbalanced="0"/>
    <cacheHierarchy uniqueName="[Tabla2].[mm.aa (año)]" caption="mm.aa (año)" attribute="1" defaultMemberUniqueName="[Tabla2].[mm.aa (año)].[All]" allUniqueName="[Tabla2].[mm.aa (año)].[All]" dimensionUniqueName="[Tabla2]" displayFolder="" count="0" memberValueDatatype="130" unbalanced="0"/>
    <cacheHierarchy uniqueName="[Tabla2].[mm.aa (trimestre)]" caption="mm.aa (trimestre)" attribute="1" defaultMemberUniqueName="[Tabla2].[mm.aa (trimestre)].[All]" allUniqueName="[Tabla2].[mm.aa (trimestre)].[All]" dimensionUniqueName="[Tabla2]" displayFolder="" count="0" memberValueDatatype="130" unbalanced="0"/>
    <cacheHierarchy uniqueName="[Tabla2].[mm.aa (mes)]" caption="mm.aa (mes)" attribute="1" defaultMemberUniqueName="[Tabla2].[mm.aa (mes)].[All]" allUniqueName="[Tabla2].[mm.aa (mes)].[All]" dimensionUniqueName="[Tabla2]" displayFolder="" count="0" memberValueDatatype="130" unbalanced="0"/>
    <cacheHierarchy uniqueName="[Tabla2].[Mes aprob (año)]" caption="Mes aprob (año)" attribute="1" defaultMemberUniqueName="[Tabla2].[Mes aprob (año)].[All]" allUniqueName="[Tabla2].[Mes aprob (año)].[All]" dimensionUniqueName="[Tabla2]" displayFolder="" count="0" memberValueDatatype="130" unbalanced="0"/>
    <cacheHierarchy uniqueName="[Tabla2].[Mes aprob (trimestre)]" caption="Mes aprob (trimestre)" attribute="1" defaultMemberUniqueName="[Tabla2].[Mes aprob (trimestre)].[All]" allUniqueName="[Tabla2].[Mes aprob (trimestre)].[All]" dimensionUniqueName="[Tabla2]" displayFolder="" count="0" memberValueDatatype="130" unbalanced="0"/>
    <cacheHierarchy uniqueName="[Tabla2].[Mes aprob (mes)]" caption="Mes aprob (mes)" attribute="1" defaultMemberUniqueName="[Tabla2].[Mes aprob (mes)].[All]" allUniqueName="[Tabla2].[Mes aprob (mes)].[All]" dimensionUniqueName="[Tabla2]" displayFolder="" count="0" memberValueDatatype="130" unbalanced="0"/>
    <cacheHierarchy uniqueName="[Tabla1].[Fecha aprobación (índice de meses)]" caption="Fecha aprobación (índice de meses)" attribute="1" defaultMemberUniqueName="[Tabla1].[Fecha aprobación (índice de meses)].[All]" allUniqueName="[Tabla1].[Fecha aprobación (índice de meses)].[All]" dimensionUniqueName="[Tabla1]" displayFolder="" count="0" memberValueDatatype="20" unbalanced="0" hidden="1"/>
    <cacheHierarchy uniqueName="[Tabla2].[Fecha (índice de meses)]" caption="Fecha (índice de meses)" attribute="1" defaultMemberUniqueName="[Tabla2].[Fecha (índice de meses)].[All]" allUniqueName="[Tabla2].[Fecha (índice de meses)].[All]" dimensionUniqueName="[Tabla2]" displayFolder="" count="0" memberValueDatatype="20" unbalanced="0" hidden="1"/>
    <cacheHierarchy uniqueName="[Tabla2].[Mes aprob (índice de meses)]" caption="Mes aprob (índice de meses)" attribute="1" defaultMemberUniqueName="[Tabla2].[Mes aprob (índice de meses)].[All]" allUniqueName="[Tabla2].[Mes aprob (índice de meses)].[All]" dimensionUniqueName="[Tabla2]" displayFolder="" count="0" memberValueDatatype="20" unbalanced="0" hidden="1"/>
    <cacheHierarchy uniqueName="[Tabla2].[mm.aa (índice de meses)]" caption="mm.aa (índice de meses)" attribute="1" defaultMemberUniqueName="[Tabla2].[mm.aa (índice de meses)].[All]" allUniqueName="[Tabla2].[mm.aa (índice de meses)].[All]" dimensionUniqueName="[Tabla2]" displayFolder="" count="0" memberValueDatatype="20" unbalanced="0" hidden="1"/>
    <cacheHierarchy uniqueName="[Measures].[__XL_Count Tabla2]" caption="__XL_Count Tabla2" measure="1" displayFolder="" measureGroup="Tabla2" count="0" hidden="1"/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  <cacheHierarchy uniqueName="[Measures].[Suma de Año Proy]" caption="Suma de Año Proy" measure="1" displayFolder="" measureGroup="Tabla2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Recuento de Proyecto]" caption="Recuento de Proyecto" measure="1" displayFolder="" measureGroup="Tabla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e SG5]" caption="Recuento de SG5" measure="1" displayFolder="" measureGroup="Tabla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Recuento de CRM]" caption="Recuento de CRM" measure="1" displayFolder="" measureGroup="Tabla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Exactus]" caption="Recuento de Exactus" measure="1" displayFolder="" measureGroup="Tabla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Recuento de Web]" caption="Recuento de Web" measure="1" displayFolder="" measureGroup="Tabla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Recuento de Estado proyecto]" caption="Recuento de Estado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Ejecutado S/.]" caption="Suma de Ejecutado S/." measure="1" displayFolder="" measureGroup="Tabla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Aprobado S/.]" caption="Suma de Aprobado S/." measure="1" displayFolder="" measureGroup="Tabla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Fecha aprobación]" caption="Recuento de Fecha aprobación" measure="1" displayFolder="" measureGroup="Tabla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a de Presupuesto S/.]" caption="Suma de Presupuesto S/." measure="1" displayFolder="" measureGroup="Tabla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Cuota]" caption="Suma de Cuota" measure="1" displayFolder="" measureGroup="Tabla2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de Año Proy 2]" caption="Suma de Año Proy 2" measure="1" displayFolder="" measureGroup="Tabla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de % Aprob]" caption="Suma de % Aprob" measure="1" displayFolder="" measureGroup="Tabla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% Ejec]" caption="Suma de % Ejec" measure="1" displayFolder="" measureGroup="Tabla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de Cuota S/.]" caption="Suma de Cuota S/." measure="1" displayFolder="" measureGroup="Tabla2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</cacheHierarchies>
  <kpis count="0"/>
  <dimensions count="3">
    <dimension measure="1" name="Measures" uniqueName="[Measures]" caption="Measures"/>
    <dimension name="Tabla1" uniqueName="[Tabla1]" caption="Tabla1"/>
    <dimension name="Tabla2" uniqueName="[Tabla2]" caption="Tabla2"/>
  </dimensions>
  <measureGroups count="2">
    <measureGroup name="Tabla1" caption="Tabla1"/>
    <measureGroup name="Tabla2" caption="Tabla2"/>
  </measureGroups>
  <maps count="3">
    <map measureGroup="0" dimension="1"/>
    <map measureGroup="1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laniz Andrea Arce Castillo" refreshedDate="45489.531402199071" backgroundQuery="1" createdVersion="3" refreshedVersion="8" minRefreshableVersion="3" recordCount="0" supportSubquery="1" supportAdvancedDrill="1" xr:uid="{912D7D33-1E8D-4582-87F1-A568B9F0C9E0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87">
    <cacheHierarchy uniqueName="[Tabla1].[Llave]" caption="Llave" attribute="1" defaultMemberUniqueName="[Tabla1].[Llave].[All]" allUniqueName="[Tabla1].[Llave].[All]" dimensionUniqueName="[Tabla1]" displayFolder="" count="0" memberValueDatatype="130" unbalanced="0"/>
    <cacheHierarchy uniqueName="[Tabla1].[ID]" caption="ID" attribute="1" defaultMemberUniqueName="[Tabla1].[ID].[All]" allUniqueName="[Tabla1].[ID].[All]" dimensionUniqueName="[Tabla1]" displayFolder="" count="0" memberValueDatatype="130" unbalanced="0"/>
    <cacheHierarchy uniqueName="[Tabla1].[Proyecto]" caption="Proyecto" attribute="1" defaultMemberUniqueName="[Tabla1].[Proyecto].[All]" allUniqueName="[Tabla1].[Proyecto].[All]" dimensionUniqueName="[Tabla1]" displayFolder="" count="0" memberValueDatatype="130" unbalanced="0"/>
    <cacheHierarchy uniqueName="[Tabla1].[Alcance]" caption="Alcance" attribute="1" defaultMemberUniqueName="[Tabla1].[Alcance].[All]" allUniqueName="[Tabla1].[Alcance].[All]" dimensionUniqueName="[Tabla1]" displayFolder="" count="0" memberValueDatatype="130" unbalanced="0"/>
    <cacheHierarchy uniqueName="[Tabla1].[Área]" caption="Área" attribute="1" defaultMemberUniqueName="[Tabla1].[Área].[All]" allUniqueName="[Tabla1].[Área].[All]" dimensionUniqueName="[Tabla1]" displayFolder="" count="0" memberValueDatatype="130" unbalanced="0"/>
    <cacheHierarchy uniqueName="[Tabla1].[Sub-Área]" caption="Sub-Área" attribute="1" defaultMemberUniqueName="[Tabla1].[Sub-Área].[All]" allUniqueName="[Tabla1].[Sub-Área].[All]" dimensionUniqueName="[Tabla1]" displayFolder="" count="0" memberValueDatatype="130" unbalanced="0"/>
    <cacheHierarchy uniqueName="[Tabla1].[Involucradas]" caption="Involucradas" attribute="1" defaultMemberUniqueName="[Tabla1].[Involucradas].[All]" allUniqueName="[Tabla1].[Involucradas].[All]" dimensionUniqueName="[Tabla1]" displayFolder="" count="0" memberValueDatatype="130" unbalanced="0"/>
    <cacheHierarchy uniqueName="[Tabla1].[Tamaño]" caption="Tamaño" attribute="1" defaultMemberUniqueName="[Tabla1].[Tamaño].[All]" allUniqueName="[Tabla1].[Tamaño].[All]" dimensionUniqueName="[Tabla1]" displayFolder="" count="0" memberValueDatatype="130" unbalanced="0"/>
    <cacheHierarchy uniqueName="[Tabla1].[Puntaje]" caption="Puntaje" attribute="1" defaultMemberUniqueName="[Tabla1].[Puntaje].[All]" allUniqueName="[Tabla1].[Puntaje].[All]" dimensionUniqueName="[Tabla1]" displayFolder="" count="0" memberValueDatatype="20" unbalanced="0"/>
    <cacheHierarchy uniqueName="[Tabla1].[Esfuerzo]" caption="Esfuerzo" attribute="1" defaultMemberUniqueName="[Tabla1].[Esfuerzo].[All]" allUniqueName="[Tabla1].[Esfuerzo].[All]" dimensionUniqueName="[Tabla1]" displayFolder="" count="0" memberValueDatatype="20" unbalanced="0"/>
    <cacheHierarchy uniqueName="[Tabla1].[Líder]" caption="Líder" attribute="1" defaultMemberUniqueName="[Tabla1].[Líder].[All]" allUniqueName="[Tabla1].[Líder].[All]" dimensionUniqueName="[Tabla1]" displayFolder="" count="0" memberValueDatatype="130" unbalanced="0"/>
    <cacheHierarchy uniqueName="[Tabla1].[P.Manager]" caption="P.Manager" attribute="1" defaultMemberUniqueName="[Tabla1].[P.Manager].[All]" allUniqueName="[Tabla1].[P.Manager].[All]" dimensionUniqueName="[Tabla1]" displayFolder="" count="0" memberValueDatatype="130" unbalanced="0"/>
    <cacheHierarchy uniqueName="[Tabla1].[Estado proyecto]" caption="Estado proyecto" attribute="1" defaultMemberUniqueName="[Tabla1].[Estado proyecto].[All]" allUniqueName="[Tabla1].[Estado proyecto].[All]" dimensionUniqueName="[Tabla1]" displayFolder="" count="0" memberValueDatatype="130" unbalanced="0"/>
    <cacheHierarchy uniqueName="[Tabla1].[Proveedor principal]" caption="Proveedor principal" attribute="1" defaultMemberUniqueName="[Tabla1].[Proveedor principal].[All]" allUniqueName="[Tabla1].[Proveedor principal].[All]" dimensionUniqueName="[Tabla1]" displayFolder="" count="0" memberValueDatatype="130" unbalanced="0"/>
    <cacheHierarchy uniqueName="[Tabla1].[SG5]" caption="SG5" attribute="1" defaultMemberUniqueName="[Tabla1].[SG5].[All]" allUniqueName="[Tabla1].[SG5].[All]" dimensionUniqueName="[Tabla1]" displayFolder="" count="0" memberValueDatatype="130" unbalanced="0"/>
    <cacheHierarchy uniqueName="[Tabla1].[CRM]" caption="CRM" attribute="1" defaultMemberUniqueName="[Tabla1].[CRM].[All]" allUniqueName="[Tabla1].[CRM].[All]" dimensionUniqueName="[Tabla1]" displayFolder="" count="0" memberValueDatatype="130" unbalanced="0"/>
    <cacheHierarchy uniqueName="[Tabla1].[Exactus]" caption="Exactus" attribute="1" defaultMemberUniqueName="[Tabla1].[Exactus].[All]" allUniqueName="[Tabla1].[Exactus].[All]" dimensionUniqueName="[Tabla1]" displayFolder="" count="0" memberValueDatatype="130" unbalanced="0"/>
    <cacheHierarchy uniqueName="[Tabla1].[Web]" caption="Web" attribute="1" defaultMemberUniqueName="[Tabla1].[Web].[All]" allUniqueName="[Tabla1].[Web].[All]" dimensionUniqueName="[Tabla1]" displayFolder="" count="0" memberValueDatatype="130" unbalanced="0"/>
    <cacheHierarchy uniqueName="[Tabla1].[Otros]" caption="Otros" attribute="1" defaultMemberUniqueName="[Tabla1].[Otros].[All]" allUniqueName="[Tabla1].[Otros].[All]" dimensionUniqueName="[Tabla1]" displayFolder="" count="0" memberValueDatatype="130" unbalanced="0"/>
    <cacheHierarchy uniqueName="[Tabla1].[Presupuesto S/.]" caption="Presupuesto S/." attribute="1" defaultMemberUniqueName="[Tabla1].[Presupuesto S/.].[All]" allUniqueName="[Tabla1].[Presupuesto S/.].[All]" dimensionUniqueName="[Tabla1]" displayFolder="" count="0" memberValueDatatype="20" unbalanced="0"/>
    <cacheHierarchy uniqueName="[Tabla1].[Aprobado S/.]" caption="Aprobado S/." attribute="1" defaultMemberUniqueName="[Tabla1].[Aprobado S/.].[All]" allUniqueName="[Tabla1].[Aprobado S/.].[All]" dimensionUniqueName="[Tabla1]" displayFolder="" count="0" memberValueDatatype="20" unbalanced="0"/>
    <cacheHierarchy uniqueName="[Tabla1].[% Aprob]" caption="% Aprob" attribute="1" defaultMemberUniqueName="[Tabla1].[% Aprob].[All]" allUniqueName="[Tabla1].[% Aprob].[All]" dimensionUniqueName="[Tabla1]" displayFolder="" count="0" memberValueDatatype="5" unbalanced="0"/>
    <cacheHierarchy uniqueName="[Tabla1].[Ejecutado S/.]" caption="Ejecutado S/." attribute="1" defaultMemberUniqueName="[Tabla1].[Ejecutado S/.].[All]" allUniqueName="[Tabla1].[Ejecutado S/.].[All]" dimensionUniqueName="[Tabla1]" displayFolder="" count="0" memberValueDatatype="20" unbalanced="0"/>
    <cacheHierarchy uniqueName="[Tabla1].[% Ejec]" caption="% Ejec" attribute="1" defaultMemberUniqueName="[Tabla1].[% Ejec].[All]" allUniqueName="[Tabla1].[% Ejec].[All]" dimensionUniqueName="[Tabla1]" displayFolder="" count="0" memberValueDatatype="5" unbalanced="0"/>
    <cacheHierarchy uniqueName="[Tabla1].[Estado presupuesto]" caption="Estado presupuesto" attribute="1" defaultMemberUniqueName="[Tabla1].[Estado presupuesto].[All]" allUniqueName="[Tabla1].[Estado presupuesto].[All]" dimensionUniqueName="[Tabla1]" displayFolder="" count="0" memberValueDatatype="130" unbalanced="0"/>
    <cacheHierarchy uniqueName="[Tabla1].[Fecha aprobación]" caption="Fecha aprobación" attribute="1" time="1" defaultMemberUniqueName="[Tabla1].[Fecha aprobación].[All]" allUniqueName="[Tabla1].[Fecha aprobación].[All]" dimensionUniqueName="[Tabla1]" displayFolder="" count="0" memberValueDatatype="7" unbalanced="0"/>
    <cacheHierarchy uniqueName="[Tabla1].[mm.aa fch aprob]" caption="mm.aa fch aprob" attribute="1" time="1" defaultMemberUniqueName="[Tabla1].[mm.aa fch aprob].[All]" allUniqueName="[Tabla1].[mm.aa fch aprob].[All]" dimensionUniqueName="[Tabla1]" displayFolder="" count="0" memberValueDatatype="7" unbalanced="0"/>
    <cacheHierarchy uniqueName="[Tabla1].[Año Proy]" caption="Año Proy" attribute="1" defaultMemberUniqueName="[Tabla1].[Año Proy].[All]" allUniqueName="[Tabla1].[Año Proy].[All]" dimensionUniqueName="[Tabla1]" displayFolder="" count="0" memberValueDatatype="20" unbalanced="0"/>
    <cacheHierarchy uniqueName="[Tabla1].[Línea de negocio]" caption="Línea de negocio" attribute="1" defaultMemberUniqueName="[Tabla1].[Línea de negocio].[All]" allUniqueName="[Tabla1].[Línea de negocio].[All]" dimensionUniqueName="[Tabla1]" displayFolder="" count="0" memberValueDatatype="130" unbalanced="0"/>
    <cacheHierarchy uniqueName="[Tabla1].[País]" caption="País" attribute="1" defaultMemberUniqueName="[Tabla1].[País].[All]" allUniqueName="[Tabla1].[País].[All]" dimensionUniqueName="[Tabla1]" displayFolder="" count="0" memberValueDatatype="130" unbalanced="0"/>
    <cacheHierarchy uniqueName="[Tabla1].[Fecha aprobación (mes)]" caption="Fecha aprobación (mes)" attribute="1" defaultMemberUniqueName="[Tabla1].[Fecha aprobación (mes)].[All]" allUniqueName="[Tabla1].[Fecha aprobación (mes)].[All]" dimensionUniqueName="[Tabla1]" displayFolder="" count="0" memberValueDatatype="130" unbalanced="0"/>
    <cacheHierarchy uniqueName="[Tabla2].[Llave]" caption="Llave" attribute="1" defaultMemberUniqueName="[Tabla2].[Llave].[All]" allUniqueName="[Tabla2].[Llave].[All]" dimensionUniqueName="[Tabla2]" displayFolder="" count="0" memberValueDatatype="130" unbalanced="0"/>
    <cacheHierarchy uniqueName="[Tabla2].[ID]" caption="ID" attribute="1" defaultMemberUniqueName="[Tabla2].[ID].[All]" allUniqueName="[Tabla2].[ID].[All]" dimensionUniqueName="[Tabla2]" displayFolder="" count="0" memberValueDatatype="130" unbalanced="0"/>
    <cacheHierarchy uniqueName="[Tabla2].[Año Proy]" caption="Año Proy" attribute="1" defaultMemberUniqueName="[Tabla2].[Año Proy].[All]" allUniqueName="[Tabla2].[Año Proy].[All]" dimensionUniqueName="[Tabla2]" displayFolder="" count="0" memberValueDatatype="20" unbalanced="0"/>
    <cacheHierarchy uniqueName="[Tabla2].[Fecha]" caption="Fecha" attribute="1" time="1" defaultMemberUniqueName="[Tabla2].[Fecha].[All]" allUniqueName="[Tabla2].[Fecha].[All]" dimensionUniqueName="[Tabla2]" displayFolder="" count="0" memberValueDatatype="7" unbalanced="0"/>
    <cacheHierarchy uniqueName="[Tabla2].[Proveedor]" caption="Proveedor" attribute="1" defaultMemberUniqueName="[Tabla2].[Proveedor].[All]" allUniqueName="[Tabla2].[Proveedor].[All]" dimensionUniqueName="[Tabla2]" displayFolder="" count="0" memberValueDatatype="130" unbalanced="0"/>
    <cacheHierarchy uniqueName="[Tabla2].[Código]" caption="Código" attribute="1" defaultMemberUniqueName="[Tabla2].[Código].[All]" allUniqueName="[Tabla2].[Código].[All]" dimensionUniqueName="[Tabla2]" displayFolder="" count="0" memberValueDatatype="130" unbalanced="0"/>
    <cacheHierarchy uniqueName="[Tabla2].[Factura]" caption="Factura" attribute="1" defaultMemberUniqueName="[Tabla2].[Factura].[All]" allUniqueName="[Tabla2].[Factura].[All]" dimensionUniqueName="[Tabla2]" displayFolder="" count="0" memberValueDatatype="130" unbalanced="0"/>
    <cacheHierarchy uniqueName="[Tabla2].[Mes aprob]" caption="Mes aprob" attribute="1" time="1" defaultMemberUniqueName="[Tabla2].[Mes aprob].[All]" allUniqueName="[Tabla2].[Mes aprob].[All]" dimensionUniqueName="[Tabla2]" displayFolder="" count="0" memberValueDatatype="7" unbalanced="0"/>
    <cacheHierarchy uniqueName="[Tabla2].[OS]" caption="OS" attribute="1" defaultMemberUniqueName="[Tabla2].[OS].[All]" allUniqueName="[Tabla2].[OS].[All]" dimensionUniqueName="[Tabla2]" displayFolder="" count="0" memberValueDatatype="130" unbalanced="0"/>
    <cacheHierarchy uniqueName="[Tabla2].[Proyecto]" caption="Proyecto" attribute="1" defaultMemberUniqueName="[Tabla2].[Proyecto].[All]" allUniqueName="[Tabla2].[Proyecto].[All]" dimensionUniqueName="[Tabla2]" displayFolder="" count="0" memberValueDatatype="130" unbalanced="0"/>
    <cacheHierarchy uniqueName="[Tabla2].[# Cuota]" caption="# Cuota" attribute="1" defaultMemberUniqueName="[Tabla2].[# Cuota].[All]" allUniqueName="[Tabla2].[# Cuota].[All]" dimensionUniqueName="[Tabla2]" displayFolder="" count="0" memberValueDatatype="20" unbalanced="0"/>
    <cacheHierarchy uniqueName="[Tabla2].[Detalle cuota]" caption="Detalle cuota" attribute="1" defaultMemberUniqueName="[Tabla2].[Detalle cuota].[All]" allUniqueName="[Tabla2].[Detalle cuota].[All]" dimensionUniqueName="[Tabla2]" displayFolder="" count="0" memberValueDatatype="130" unbalanced="0"/>
    <cacheHierarchy uniqueName="[Tabla2].[Cuota]" caption="Cuota" attribute="1" defaultMemberUniqueName="[Tabla2].[Cuota].[All]" allUniqueName="[Tabla2].[Cuota].[All]" dimensionUniqueName="[Tabla2]" displayFolder="" count="0" memberValueDatatype="5" unbalanced="0"/>
    <cacheHierarchy uniqueName="[Tabla2].[Total cuotas]" caption="Total cuotas" attribute="1" defaultMemberUniqueName="[Tabla2].[Total cuotas].[All]" allUniqueName="[Tabla2].[Total cuotas].[All]" dimensionUniqueName="[Tabla2]" displayFolder="" count="0" memberValueDatatype="20" unbalanced="0"/>
    <cacheHierarchy uniqueName="[Tabla2].[Moneda]" caption="Moneda" attribute="1" defaultMemberUniqueName="[Tabla2].[Moneda].[All]" allUniqueName="[Tabla2].[Moneda].[All]" dimensionUniqueName="[Tabla2]" displayFolder="" count="0" memberValueDatatype="130" unbalanced="0"/>
    <cacheHierarchy uniqueName="[Tabla2].[Cuota S/.]" caption="Cuota S/." attribute="1" defaultMemberUniqueName="[Tabla2].[Cuota S/.].[All]" allUniqueName="[Tabla2].[Cuota S/.].[All]" dimensionUniqueName="[Tabla2]" displayFolder="" count="0" memberValueDatatype="5" unbalanced="0"/>
    <cacheHierarchy uniqueName="[Tabla2].[Cuenta]" caption="Cuenta" attribute="1" defaultMemberUniqueName="[Tabla2].[Cuenta].[All]" allUniqueName="[Tabla2].[Cuenta].[All]" dimensionUniqueName="[Tabla2]" displayFolder="" count="0" memberValueDatatype="130" unbalanced="0"/>
    <cacheHierarchy uniqueName="[Tabla2].[País]" caption="País" attribute="1" defaultMemberUniqueName="[Tabla2].[País].[All]" allUniqueName="[Tabla2].[País].[All]" dimensionUniqueName="[Tabla2]" displayFolder="" count="0" memberValueDatatype="130" unbalanced="0"/>
    <cacheHierarchy uniqueName="[Tabla2].[Área]" caption="Área" attribute="1" defaultMemberUniqueName="[Tabla2].[Área].[All]" allUniqueName="[Tabla2].[Área].[All]" dimensionUniqueName="[Tabla2]" displayFolder="" count="0" memberValueDatatype="130" unbalanced="0"/>
    <cacheHierarchy uniqueName="[Tabla2].[Estado]" caption="Estado" attribute="1" defaultMemberUniqueName="[Tabla2].[Estado].[All]" allUniqueName="[Tabla2].[Estado].[All]" dimensionUniqueName="[Tabla2]" displayFolder="" count="0" memberValueDatatype="130" unbalanced="0"/>
    <cacheHierarchy uniqueName="[Tabla2].[F Venc]" caption="F Venc" attribute="1" time="1" defaultMemberUniqueName="[Tabla2].[F Venc].[All]" allUniqueName="[Tabla2].[F Venc].[All]" dimensionUniqueName="[Tabla2]" displayFolder="" count="0" memberValueDatatype="7" unbalanced="0"/>
    <cacheHierarchy uniqueName="[Tabla2].[Fecha pago]" caption="Fecha pago" attribute="1" defaultMemberUniqueName="[Tabla2].[Fecha pago].[All]" allUniqueName="[Tabla2].[Fecha pago].[All]" dimensionUniqueName="[Tabla2]" displayFolder="" count="0" memberValueDatatype="130" unbalanced="0"/>
    <cacheHierarchy uniqueName="[Tabla2].[mm.aa]" caption="mm.aa" attribute="1" time="1" defaultMemberUniqueName="[Tabla2].[mm.aa].[All]" allUniqueName="[Tabla2].[mm.aa].[All]" dimensionUniqueName="[Tabla2]" displayFolder="" count="0" memberValueDatatype="7" unbalanced="0"/>
    <cacheHierarchy uniqueName="[Tabla2].[Sistema]" caption="Sistema" attribute="1" defaultMemberUniqueName="[Tabla2].[Sistema].[All]" allUniqueName="[Tabla2].[Sistema].[All]" dimensionUniqueName="[Tabla2]" displayFolder="" count="0" memberValueDatatype="130" unbalanced="0"/>
    <cacheHierarchy uniqueName="[Tabla2].[Fecha (año)]" caption="Fecha (año)" attribute="1" defaultMemberUniqueName="[Tabla2].[Fecha (año)].[All]" allUniqueName="[Tabla2].[Fecha (año)].[All]" dimensionUniqueName="[Tabla2]" displayFolder="" count="0" memberValueDatatype="130" unbalanced="0"/>
    <cacheHierarchy uniqueName="[Tabla2].[Fecha (trimestre)]" caption="Fecha (trimestre)" attribute="1" defaultMemberUniqueName="[Tabla2].[Fecha (trimestre)].[All]" allUniqueName="[Tabla2].[Fecha (trimestre)].[All]" dimensionUniqueName="[Tabla2]" displayFolder="" count="0" memberValueDatatype="130" unbalanced="0"/>
    <cacheHierarchy uniqueName="[Tabla2].[Fecha (mes)]" caption="Fecha (mes)" attribute="1" defaultMemberUniqueName="[Tabla2].[Fecha (mes)].[All]" allUniqueName="[Tabla2].[Fecha (mes)].[All]" dimensionUniqueName="[Tabla2]" displayFolder="" count="0" memberValueDatatype="130" unbalanced="0"/>
    <cacheHierarchy uniqueName="[Tabla2].[mm.aa (año)]" caption="mm.aa (año)" attribute="1" defaultMemberUniqueName="[Tabla2].[mm.aa (año)].[All]" allUniqueName="[Tabla2].[mm.aa (año)].[All]" dimensionUniqueName="[Tabla2]" displayFolder="" count="0" memberValueDatatype="130" unbalanced="0"/>
    <cacheHierarchy uniqueName="[Tabla2].[mm.aa (trimestre)]" caption="mm.aa (trimestre)" attribute="1" defaultMemberUniqueName="[Tabla2].[mm.aa (trimestre)].[All]" allUniqueName="[Tabla2].[mm.aa (trimestre)].[All]" dimensionUniqueName="[Tabla2]" displayFolder="" count="0" memberValueDatatype="130" unbalanced="0"/>
    <cacheHierarchy uniqueName="[Tabla2].[mm.aa (mes)]" caption="mm.aa (mes)" attribute="1" defaultMemberUniqueName="[Tabla2].[mm.aa (mes)].[All]" allUniqueName="[Tabla2].[mm.aa (mes)].[All]" dimensionUniqueName="[Tabla2]" displayFolder="" count="0" memberValueDatatype="130" unbalanced="0"/>
    <cacheHierarchy uniqueName="[Tabla2].[Mes aprob (año)]" caption="Mes aprob (año)" attribute="1" defaultMemberUniqueName="[Tabla2].[Mes aprob (año)].[All]" allUniqueName="[Tabla2].[Mes aprob (año)].[All]" dimensionUniqueName="[Tabla2]" displayFolder="" count="0" memberValueDatatype="130" unbalanced="0"/>
    <cacheHierarchy uniqueName="[Tabla2].[Mes aprob (trimestre)]" caption="Mes aprob (trimestre)" attribute="1" defaultMemberUniqueName="[Tabla2].[Mes aprob (trimestre)].[All]" allUniqueName="[Tabla2].[Mes aprob (trimestre)].[All]" dimensionUniqueName="[Tabla2]" displayFolder="" count="0" memberValueDatatype="130" unbalanced="0"/>
    <cacheHierarchy uniqueName="[Tabla2].[Mes aprob (mes)]" caption="Mes aprob (mes)" attribute="1" defaultMemberUniqueName="[Tabla2].[Mes aprob (mes)].[All]" allUniqueName="[Tabla2].[Mes aprob (mes)].[All]" dimensionUniqueName="[Tabla2]" displayFolder="" count="0" memberValueDatatype="130" unbalanced="0"/>
    <cacheHierarchy uniqueName="[Tabla1].[Fecha aprobación (índice de meses)]" caption="Fecha aprobación (índice de meses)" attribute="1" defaultMemberUniqueName="[Tabla1].[Fecha aprobación (índice de meses)].[All]" allUniqueName="[Tabla1].[Fecha aprobación (índice de meses)].[All]" dimensionUniqueName="[Tabla1]" displayFolder="" count="0" memberValueDatatype="20" unbalanced="0" hidden="1"/>
    <cacheHierarchy uniqueName="[Tabla2].[Fecha (índice de meses)]" caption="Fecha (índice de meses)" attribute="1" defaultMemberUniqueName="[Tabla2].[Fecha (índice de meses)].[All]" allUniqueName="[Tabla2].[Fecha (índice de meses)].[All]" dimensionUniqueName="[Tabla2]" displayFolder="" count="0" memberValueDatatype="20" unbalanced="0" hidden="1"/>
    <cacheHierarchy uniqueName="[Tabla2].[Mes aprob (índice de meses)]" caption="Mes aprob (índice de meses)" attribute="1" defaultMemberUniqueName="[Tabla2].[Mes aprob (índice de meses)].[All]" allUniqueName="[Tabla2].[Mes aprob (índice de meses)].[All]" dimensionUniqueName="[Tabla2]" displayFolder="" count="0" memberValueDatatype="20" unbalanced="0" hidden="1"/>
    <cacheHierarchy uniqueName="[Tabla2].[mm.aa (índice de meses)]" caption="mm.aa (índice de meses)" attribute="1" defaultMemberUniqueName="[Tabla2].[mm.aa (índice de meses)].[All]" allUniqueName="[Tabla2].[mm.aa (índice de meses)].[All]" dimensionUniqueName="[Tabla2]" displayFolder="" count="0" memberValueDatatype="20" unbalanced="0" hidden="1"/>
    <cacheHierarchy uniqueName="[Measures].[__XL_Count Tabla2]" caption="__XL_Count Tabla2" measure="1" displayFolder="" measureGroup="Tabla2" count="0" hidden="1"/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  <cacheHierarchy uniqueName="[Measures].[Suma de Año Proy]" caption="Suma de Año Proy" measure="1" displayFolder="" measureGroup="Tabla2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Recuento de Proyecto]" caption="Recuento de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e SG5]" caption="Recuento de SG5" measure="1" displayFolder="" measureGroup="Tabla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Recuento de CRM]" caption="Recuento de CRM" measure="1" displayFolder="" measureGroup="Tabla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Exactus]" caption="Recuento de Exactus" measure="1" displayFolder="" measureGroup="Tabla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Recuento de Web]" caption="Recuento de Web" measure="1" displayFolder="" measureGroup="Tabla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Recuento de Estado proyecto]" caption="Recuento de Estado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Ejecutado S/.]" caption="Suma de Ejecutado S/." measure="1" displayFolder="" measureGroup="Tabla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Aprobado S/.]" caption="Suma de Aprobado S/." measure="1" displayFolder="" measureGroup="Tabla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Fecha aprobación]" caption="Recuento de Fecha aprobación" measure="1" displayFolder="" measureGroup="Tabla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a de Presupuesto S/.]" caption="Suma de Presupuesto S/." measure="1" displayFolder="" measureGroup="Tabla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Cuota]" caption="Suma de Cuota" measure="1" displayFolder="" measureGroup="Tabla2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de Año Proy 2]" caption="Suma de Año Proy 2" measure="1" displayFolder="" measureGroup="Tabla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de % Aprob]" caption="Suma de % Aprob" measure="1" displayFolder="" measureGroup="Tabla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% Ejec]" caption="Suma de % Ejec" measure="1" displayFolder="" measureGroup="Tabla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de Cuota S/.]" caption="Suma de Cuota S/." measure="1" displayFolder="" measureGroup="Tabla2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</cacheHierarchies>
  <kpis count="0"/>
  <dimensions count="3">
    <dimension measure="1" name="Measures" uniqueName="[Measures]" caption="Measures"/>
    <dimension name="Tabla1" uniqueName="[Tabla1]" caption="Tabla1"/>
    <dimension name="Tabla2" uniqueName="[Tabla2]" caption="Tabla2"/>
  </dimensions>
  <measureGroups count="2">
    <measureGroup name="Tabla1" caption="Tabla1"/>
    <measureGroup name="Tabla2" caption="Tabla2"/>
  </measureGroups>
  <maps count="3">
    <map measureGroup="0" dimension="1"/>
    <map measureGroup="1" dimension="1"/>
    <map measureGroup="1" dimension="2"/>
  </maps>
  <extLst>
    <ext xmlns:x14="http://schemas.microsoft.com/office/spreadsheetml/2009/9/main" uri="{725AE2AE-9491-48be-B2B4-4EB974FC3084}">
      <x14:pivotCacheDefinition slicerData="1" pivotCacheId="1024759036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laniz Andrea Arce Castillo" refreshedDate="45489.531400694446" backgroundQuery="1" createdVersion="8" refreshedVersion="8" minRefreshableVersion="3" recordCount="0" supportSubquery="1" supportAdvancedDrill="1" xr:uid="{A138F7FD-3C22-4C88-8D50-D5B53FCC8AF0}">
  <cacheSource type="external" connectionId="1"/>
  <cacheFields count="6">
    <cacheField name="[Tabla1].[Proveedor principal].[Proveedor principal]" caption="Proveedor principal" numFmtId="0" hierarchy="13" level="1">
      <sharedItems count="4">
        <s v="Avanza"/>
        <s v="BCTS"/>
        <s v="EXE"/>
        <s v="Kunaq"/>
      </sharedItems>
    </cacheField>
    <cacheField name="[Tabla2].[Año Proy].[Año Proy]" caption="Año Proy" numFmtId="0" hierarchy="33" level="1">
      <sharedItems containsSemiMixedTypes="0" containsNonDate="0" containsString="0"/>
    </cacheField>
    <cacheField name="[Tabla2].[Proveedor].[Proveedor]" caption="Proveedor" numFmtId="0" hierarchy="35" level="1">
      <sharedItems count="6">
        <s v="Avanza"/>
        <s v="BCTS"/>
        <s v="BigDavi"/>
        <s v="Exe"/>
        <s v="IQ"/>
        <s v="Kunaq"/>
      </sharedItems>
    </cacheField>
    <cacheField name="[Tabla2].[Cuenta].[Cuenta]" caption="Cuenta" numFmtId="0" hierarchy="47" level="1">
      <sharedItems containsSemiMixedTypes="0" containsNonDate="0" containsString="0"/>
    </cacheField>
    <cacheField name="[Tabla2].[Estado].[Estado]" caption="Estado" numFmtId="0" hierarchy="50" level="1">
      <sharedItems containsSemiMixedTypes="0" containsNonDate="0" containsString="0"/>
    </cacheField>
    <cacheField name="[Measures].[Suma de Cuota]" caption="Suma de Cuota" numFmtId="0" hierarchy="82" level="32767"/>
  </cacheFields>
  <cacheHierarchies count="87">
    <cacheHierarchy uniqueName="[Tabla1].[Llave]" caption="Llave" attribute="1" defaultMemberUniqueName="[Tabla1].[Llave].[All]" allUniqueName="[Tabla1].[Llave].[All]" dimensionUniqueName="[Tabla1]" displayFolder="" count="0" memberValueDatatype="130" unbalanced="0"/>
    <cacheHierarchy uniqueName="[Tabla1].[ID]" caption="ID" attribute="1" defaultMemberUniqueName="[Tabla1].[ID].[All]" allUniqueName="[Tabla1].[ID].[All]" dimensionUniqueName="[Tabla1]" displayFolder="" count="0" memberValueDatatype="130" unbalanced="0"/>
    <cacheHierarchy uniqueName="[Tabla1].[Proyecto]" caption="Proyecto" attribute="1" defaultMemberUniqueName="[Tabla1].[Proyecto].[All]" allUniqueName="[Tabla1].[Proyecto].[All]" dimensionUniqueName="[Tabla1]" displayFolder="" count="0" memberValueDatatype="130" unbalanced="0"/>
    <cacheHierarchy uniqueName="[Tabla1].[Alcance]" caption="Alcance" attribute="1" defaultMemberUniqueName="[Tabla1].[Alcance].[All]" allUniqueName="[Tabla1].[Alcance].[All]" dimensionUniqueName="[Tabla1]" displayFolder="" count="0" memberValueDatatype="130" unbalanced="0"/>
    <cacheHierarchy uniqueName="[Tabla1].[Área]" caption="Área" attribute="1" defaultMemberUniqueName="[Tabla1].[Área].[All]" allUniqueName="[Tabla1].[Área].[All]" dimensionUniqueName="[Tabla1]" displayFolder="" count="0" memberValueDatatype="130" unbalanced="0"/>
    <cacheHierarchy uniqueName="[Tabla1].[Sub-Área]" caption="Sub-Área" attribute="1" defaultMemberUniqueName="[Tabla1].[Sub-Área].[All]" allUniqueName="[Tabla1].[Sub-Área].[All]" dimensionUniqueName="[Tabla1]" displayFolder="" count="0" memberValueDatatype="130" unbalanced="0"/>
    <cacheHierarchy uniqueName="[Tabla1].[Involucradas]" caption="Involucradas" attribute="1" defaultMemberUniqueName="[Tabla1].[Involucradas].[All]" allUniqueName="[Tabla1].[Involucradas].[All]" dimensionUniqueName="[Tabla1]" displayFolder="" count="0" memberValueDatatype="130" unbalanced="0"/>
    <cacheHierarchy uniqueName="[Tabla1].[Tamaño]" caption="Tamaño" attribute="1" defaultMemberUniqueName="[Tabla1].[Tamaño].[All]" allUniqueName="[Tabla1].[Tamaño].[All]" dimensionUniqueName="[Tabla1]" displayFolder="" count="0" memberValueDatatype="130" unbalanced="0"/>
    <cacheHierarchy uniqueName="[Tabla1].[Puntaje]" caption="Puntaje" attribute="1" defaultMemberUniqueName="[Tabla1].[Puntaje].[All]" allUniqueName="[Tabla1].[Puntaje].[All]" dimensionUniqueName="[Tabla1]" displayFolder="" count="0" memberValueDatatype="20" unbalanced="0"/>
    <cacheHierarchy uniqueName="[Tabla1].[Esfuerzo]" caption="Esfuerzo" attribute="1" defaultMemberUniqueName="[Tabla1].[Esfuerzo].[All]" allUniqueName="[Tabla1].[Esfuerzo].[All]" dimensionUniqueName="[Tabla1]" displayFolder="" count="0" memberValueDatatype="20" unbalanced="0"/>
    <cacheHierarchy uniqueName="[Tabla1].[Líder]" caption="Líder" attribute="1" defaultMemberUniqueName="[Tabla1].[Líder].[All]" allUniqueName="[Tabla1].[Líder].[All]" dimensionUniqueName="[Tabla1]" displayFolder="" count="0" memberValueDatatype="130" unbalanced="0"/>
    <cacheHierarchy uniqueName="[Tabla1].[P.Manager]" caption="P.Manager" attribute="1" defaultMemberUniqueName="[Tabla1].[P.Manager].[All]" allUniqueName="[Tabla1].[P.Manager].[All]" dimensionUniqueName="[Tabla1]" displayFolder="" count="0" memberValueDatatype="130" unbalanced="0"/>
    <cacheHierarchy uniqueName="[Tabla1].[Estado proyecto]" caption="Estado proyecto" attribute="1" defaultMemberUniqueName="[Tabla1].[Estado proyecto].[All]" allUniqueName="[Tabla1].[Estado proyecto].[All]" dimensionUniqueName="[Tabla1]" displayFolder="" count="0" memberValueDatatype="130" unbalanced="0"/>
    <cacheHierarchy uniqueName="[Tabla1].[Proveedor principal]" caption="Proveedor principal" attribute="1" defaultMemberUniqueName="[Tabla1].[Proveedor principal].[All]" allUniqueName="[Tabla1].[Proveedor principal].[All]" dimensionUniqueName="[Tabla1]" displayFolder="" count="2" memberValueDatatype="130" unbalanced="0">
      <fieldsUsage count="2">
        <fieldUsage x="-1"/>
        <fieldUsage x="0"/>
      </fieldsUsage>
    </cacheHierarchy>
    <cacheHierarchy uniqueName="[Tabla1].[SG5]" caption="SG5" attribute="1" defaultMemberUniqueName="[Tabla1].[SG5].[All]" allUniqueName="[Tabla1].[SG5].[All]" dimensionUniqueName="[Tabla1]" displayFolder="" count="0" memberValueDatatype="130" unbalanced="0"/>
    <cacheHierarchy uniqueName="[Tabla1].[CRM]" caption="CRM" attribute="1" defaultMemberUniqueName="[Tabla1].[CRM].[All]" allUniqueName="[Tabla1].[CRM].[All]" dimensionUniqueName="[Tabla1]" displayFolder="" count="0" memberValueDatatype="130" unbalanced="0"/>
    <cacheHierarchy uniqueName="[Tabla1].[Exactus]" caption="Exactus" attribute="1" defaultMemberUniqueName="[Tabla1].[Exactus].[All]" allUniqueName="[Tabla1].[Exactus].[All]" dimensionUniqueName="[Tabla1]" displayFolder="" count="0" memberValueDatatype="130" unbalanced="0"/>
    <cacheHierarchy uniqueName="[Tabla1].[Web]" caption="Web" attribute="1" defaultMemberUniqueName="[Tabla1].[Web].[All]" allUniqueName="[Tabla1].[Web].[All]" dimensionUniqueName="[Tabla1]" displayFolder="" count="0" memberValueDatatype="130" unbalanced="0"/>
    <cacheHierarchy uniqueName="[Tabla1].[Otros]" caption="Otros" attribute="1" defaultMemberUniqueName="[Tabla1].[Otros].[All]" allUniqueName="[Tabla1].[Otros].[All]" dimensionUniqueName="[Tabla1]" displayFolder="" count="0" memberValueDatatype="130" unbalanced="0"/>
    <cacheHierarchy uniqueName="[Tabla1].[Presupuesto S/.]" caption="Presupuesto S/." attribute="1" defaultMemberUniqueName="[Tabla1].[Presupuesto S/.].[All]" allUniqueName="[Tabla1].[Presupuesto S/.].[All]" dimensionUniqueName="[Tabla1]" displayFolder="" count="0" memberValueDatatype="20" unbalanced="0"/>
    <cacheHierarchy uniqueName="[Tabla1].[Aprobado S/.]" caption="Aprobado S/." attribute="1" defaultMemberUniqueName="[Tabla1].[Aprobado S/.].[All]" allUniqueName="[Tabla1].[Aprobado S/.].[All]" dimensionUniqueName="[Tabla1]" displayFolder="" count="0" memberValueDatatype="20" unbalanced="0"/>
    <cacheHierarchy uniqueName="[Tabla1].[% Aprob]" caption="% Aprob" attribute="1" defaultMemberUniqueName="[Tabla1].[% Aprob].[All]" allUniqueName="[Tabla1].[% Aprob].[All]" dimensionUniqueName="[Tabla1]" displayFolder="" count="0" memberValueDatatype="5" unbalanced="0"/>
    <cacheHierarchy uniqueName="[Tabla1].[Ejecutado S/.]" caption="Ejecutado S/." attribute="1" defaultMemberUniqueName="[Tabla1].[Ejecutado S/.].[All]" allUniqueName="[Tabla1].[Ejecutado S/.].[All]" dimensionUniqueName="[Tabla1]" displayFolder="" count="0" memberValueDatatype="20" unbalanced="0"/>
    <cacheHierarchy uniqueName="[Tabla1].[% Ejec]" caption="% Ejec" attribute="1" defaultMemberUniqueName="[Tabla1].[% Ejec].[All]" allUniqueName="[Tabla1].[% Ejec].[All]" dimensionUniqueName="[Tabla1]" displayFolder="" count="0" memberValueDatatype="5" unbalanced="0"/>
    <cacheHierarchy uniqueName="[Tabla1].[Estado presupuesto]" caption="Estado presupuesto" attribute="1" defaultMemberUniqueName="[Tabla1].[Estado presupuesto].[All]" allUniqueName="[Tabla1].[Estado presupuesto].[All]" dimensionUniqueName="[Tabla1]" displayFolder="" count="0" memberValueDatatype="130" unbalanced="0"/>
    <cacheHierarchy uniqueName="[Tabla1].[Fecha aprobación]" caption="Fecha aprobación" attribute="1" time="1" defaultMemberUniqueName="[Tabla1].[Fecha aprobación].[All]" allUniqueName="[Tabla1].[Fecha aprobación].[All]" dimensionUniqueName="[Tabla1]" displayFolder="" count="0" memberValueDatatype="7" unbalanced="0"/>
    <cacheHierarchy uniqueName="[Tabla1].[mm.aa fch aprob]" caption="mm.aa fch aprob" attribute="1" time="1" defaultMemberUniqueName="[Tabla1].[mm.aa fch aprob].[All]" allUniqueName="[Tabla1].[mm.aa fch aprob].[All]" dimensionUniqueName="[Tabla1]" displayFolder="" count="0" memberValueDatatype="7" unbalanced="0"/>
    <cacheHierarchy uniqueName="[Tabla1].[Año Proy]" caption="Año Proy" attribute="1" defaultMemberUniqueName="[Tabla1].[Año Proy].[All]" allUniqueName="[Tabla1].[Año Proy].[All]" dimensionUniqueName="[Tabla1]" displayFolder="" count="0" memberValueDatatype="20" unbalanced="0"/>
    <cacheHierarchy uniqueName="[Tabla1].[Línea de negocio]" caption="Línea de negocio" attribute="1" defaultMemberUniqueName="[Tabla1].[Línea de negocio].[All]" allUniqueName="[Tabla1].[Línea de negocio].[All]" dimensionUniqueName="[Tabla1]" displayFolder="" count="0" memberValueDatatype="130" unbalanced="0"/>
    <cacheHierarchy uniqueName="[Tabla1].[País]" caption="País" attribute="1" defaultMemberUniqueName="[Tabla1].[País].[All]" allUniqueName="[Tabla1].[País].[All]" dimensionUniqueName="[Tabla1]" displayFolder="" count="0" memberValueDatatype="130" unbalanced="0"/>
    <cacheHierarchy uniqueName="[Tabla1].[Fecha aprobación (mes)]" caption="Fecha aprobación (mes)" attribute="1" defaultMemberUniqueName="[Tabla1].[Fecha aprobación (mes)].[All]" allUniqueName="[Tabla1].[Fecha aprobación (mes)].[All]" dimensionUniqueName="[Tabla1]" displayFolder="" count="0" memberValueDatatype="130" unbalanced="0"/>
    <cacheHierarchy uniqueName="[Tabla2].[Llave]" caption="Llave" attribute="1" defaultMemberUniqueName="[Tabla2].[Llave].[All]" allUniqueName="[Tabla2].[Llave].[All]" dimensionUniqueName="[Tabla2]" displayFolder="" count="0" memberValueDatatype="130" unbalanced="0"/>
    <cacheHierarchy uniqueName="[Tabla2].[ID]" caption="ID" attribute="1" defaultMemberUniqueName="[Tabla2].[ID].[All]" allUniqueName="[Tabla2].[ID].[All]" dimensionUniqueName="[Tabla2]" displayFolder="" count="0" memberValueDatatype="130" unbalanced="0"/>
    <cacheHierarchy uniqueName="[Tabla2].[Año Proy]" caption="Año Proy" attribute="1" defaultMemberUniqueName="[Tabla2].[Año Proy].[All]" allUniqueName="[Tabla2].[Año Proy].[All]" dimensionUniqueName="[Tabla2]" displayFolder="" count="2" memberValueDatatype="20" unbalanced="0">
      <fieldsUsage count="2">
        <fieldUsage x="-1"/>
        <fieldUsage x="1"/>
      </fieldsUsage>
    </cacheHierarchy>
    <cacheHierarchy uniqueName="[Tabla2].[Fecha]" caption="Fecha" attribute="1" time="1" defaultMemberUniqueName="[Tabla2].[Fecha].[All]" allUniqueName="[Tabla2].[Fecha].[All]" dimensionUniqueName="[Tabla2]" displayFolder="" count="0" memberValueDatatype="7" unbalanced="0"/>
    <cacheHierarchy uniqueName="[Tabla2].[Proveedor]" caption="Proveedor" attribute="1" defaultMemberUniqueName="[Tabla2].[Proveedor].[All]" allUniqueName="[Tabla2].[Proveedor].[All]" dimensionUniqueName="[Tabla2]" displayFolder="" count="2" memberValueDatatype="130" unbalanced="0">
      <fieldsUsage count="2">
        <fieldUsage x="-1"/>
        <fieldUsage x="2"/>
      </fieldsUsage>
    </cacheHierarchy>
    <cacheHierarchy uniqueName="[Tabla2].[Código]" caption="Código" attribute="1" defaultMemberUniqueName="[Tabla2].[Código].[All]" allUniqueName="[Tabla2].[Código].[All]" dimensionUniqueName="[Tabla2]" displayFolder="" count="0" memberValueDatatype="130" unbalanced="0"/>
    <cacheHierarchy uniqueName="[Tabla2].[Factura]" caption="Factura" attribute="1" defaultMemberUniqueName="[Tabla2].[Factura].[All]" allUniqueName="[Tabla2].[Factura].[All]" dimensionUniqueName="[Tabla2]" displayFolder="" count="0" memberValueDatatype="130" unbalanced="0"/>
    <cacheHierarchy uniqueName="[Tabla2].[Mes aprob]" caption="Mes aprob" attribute="1" time="1" defaultMemberUniqueName="[Tabla2].[Mes aprob].[All]" allUniqueName="[Tabla2].[Mes aprob].[All]" dimensionUniqueName="[Tabla2]" displayFolder="" count="0" memberValueDatatype="7" unbalanced="0"/>
    <cacheHierarchy uniqueName="[Tabla2].[OS]" caption="OS" attribute="1" defaultMemberUniqueName="[Tabla2].[OS].[All]" allUniqueName="[Tabla2].[OS].[All]" dimensionUniqueName="[Tabla2]" displayFolder="" count="0" memberValueDatatype="130" unbalanced="0"/>
    <cacheHierarchy uniqueName="[Tabla2].[Proyecto]" caption="Proyecto" attribute="1" defaultMemberUniqueName="[Tabla2].[Proyecto].[All]" allUniqueName="[Tabla2].[Proyecto].[All]" dimensionUniqueName="[Tabla2]" displayFolder="" count="0" memberValueDatatype="130" unbalanced="0"/>
    <cacheHierarchy uniqueName="[Tabla2].[# Cuota]" caption="# Cuota" attribute="1" defaultMemberUniqueName="[Tabla2].[# Cuota].[All]" allUniqueName="[Tabla2].[# Cuota].[All]" dimensionUniqueName="[Tabla2]" displayFolder="" count="0" memberValueDatatype="20" unbalanced="0"/>
    <cacheHierarchy uniqueName="[Tabla2].[Detalle cuota]" caption="Detalle cuota" attribute="1" defaultMemberUniqueName="[Tabla2].[Detalle cuota].[All]" allUniqueName="[Tabla2].[Detalle cuota].[All]" dimensionUniqueName="[Tabla2]" displayFolder="" count="0" memberValueDatatype="130" unbalanced="0"/>
    <cacheHierarchy uniqueName="[Tabla2].[Cuota]" caption="Cuota" attribute="1" defaultMemberUniqueName="[Tabla2].[Cuota].[All]" allUniqueName="[Tabla2].[Cuota].[All]" dimensionUniqueName="[Tabla2]" displayFolder="" count="0" memberValueDatatype="5" unbalanced="0"/>
    <cacheHierarchy uniqueName="[Tabla2].[Total cuotas]" caption="Total cuotas" attribute="1" defaultMemberUniqueName="[Tabla2].[Total cuotas].[All]" allUniqueName="[Tabla2].[Total cuotas].[All]" dimensionUniqueName="[Tabla2]" displayFolder="" count="0" memberValueDatatype="20" unbalanced="0"/>
    <cacheHierarchy uniqueName="[Tabla2].[Moneda]" caption="Moneda" attribute="1" defaultMemberUniqueName="[Tabla2].[Moneda].[All]" allUniqueName="[Tabla2].[Moneda].[All]" dimensionUniqueName="[Tabla2]" displayFolder="" count="0" memberValueDatatype="130" unbalanced="0"/>
    <cacheHierarchy uniqueName="[Tabla2].[Cuota S/.]" caption="Cuota S/." attribute="1" defaultMemberUniqueName="[Tabla2].[Cuota S/.].[All]" allUniqueName="[Tabla2].[Cuota S/.].[All]" dimensionUniqueName="[Tabla2]" displayFolder="" count="0" memberValueDatatype="5" unbalanced="0"/>
    <cacheHierarchy uniqueName="[Tabla2].[Cuenta]" caption="Cuenta" attribute="1" defaultMemberUniqueName="[Tabla2].[Cuenta].[All]" allUniqueName="[Tabla2].[Cuenta].[All]" dimensionUniqueName="[Tabla2]" displayFolder="" count="2" memberValueDatatype="130" unbalanced="0">
      <fieldsUsage count="2">
        <fieldUsage x="-1"/>
        <fieldUsage x="3"/>
      </fieldsUsage>
    </cacheHierarchy>
    <cacheHierarchy uniqueName="[Tabla2].[País]" caption="País" attribute="1" defaultMemberUniqueName="[Tabla2].[País].[All]" allUniqueName="[Tabla2].[País].[All]" dimensionUniqueName="[Tabla2]" displayFolder="" count="0" memberValueDatatype="130" unbalanced="0"/>
    <cacheHierarchy uniqueName="[Tabla2].[Área]" caption="Área" attribute="1" defaultMemberUniqueName="[Tabla2].[Área].[All]" allUniqueName="[Tabla2].[Área].[All]" dimensionUniqueName="[Tabla2]" displayFolder="" count="0" memberValueDatatype="130" unbalanced="0"/>
    <cacheHierarchy uniqueName="[Tabla2].[Estado]" caption="Estado" attribute="1" defaultMemberUniqueName="[Tabla2].[Estado].[All]" allUniqueName="[Tabla2].[Estado].[All]" dimensionUniqueName="[Tabla2]" displayFolder="" count="2" memberValueDatatype="130" unbalanced="0">
      <fieldsUsage count="2">
        <fieldUsage x="-1"/>
        <fieldUsage x="4"/>
      </fieldsUsage>
    </cacheHierarchy>
    <cacheHierarchy uniqueName="[Tabla2].[F Venc]" caption="F Venc" attribute="1" defaultMemberUniqueName="[Tabla2].[F Venc].[All]" allUniqueName="[Tabla2].[F Venc].[All]" dimensionUniqueName="[Tabla2]" displayFolder="" count="0" memberValueDatatype="130" unbalanced="0"/>
    <cacheHierarchy uniqueName="[Tabla2].[Fecha pago]" caption="Fecha pago" attribute="1" defaultMemberUniqueName="[Tabla2].[Fecha pago].[All]" allUniqueName="[Tabla2].[Fecha pago].[All]" dimensionUniqueName="[Tabla2]" displayFolder="" count="0" memberValueDatatype="130" unbalanced="0"/>
    <cacheHierarchy uniqueName="[Tabla2].[mm.aa]" caption="mm.aa" attribute="1" time="1" defaultMemberUniqueName="[Tabla2].[mm.aa].[All]" allUniqueName="[Tabla2].[mm.aa].[All]" dimensionUniqueName="[Tabla2]" displayFolder="" count="0" memberValueDatatype="7" unbalanced="0"/>
    <cacheHierarchy uniqueName="[Tabla2].[Sistema]" caption="Sistema" attribute="1" defaultMemberUniqueName="[Tabla2].[Sistema].[All]" allUniqueName="[Tabla2].[Sistema].[All]" dimensionUniqueName="[Tabla2]" displayFolder="" count="0" memberValueDatatype="130" unbalanced="0"/>
    <cacheHierarchy uniqueName="[Tabla2].[Fecha (año)]" caption="Fecha (año)" attribute="1" defaultMemberUniqueName="[Tabla2].[Fecha (año)].[All]" allUniqueName="[Tabla2].[Fecha (año)].[All]" dimensionUniqueName="[Tabla2]" displayFolder="" count="0" memberValueDatatype="130" unbalanced="0"/>
    <cacheHierarchy uniqueName="[Tabla2].[Fecha (trimestre)]" caption="Fecha (trimestre)" attribute="1" defaultMemberUniqueName="[Tabla2].[Fecha (trimestre)].[All]" allUniqueName="[Tabla2].[Fecha (trimestre)].[All]" dimensionUniqueName="[Tabla2]" displayFolder="" count="0" memberValueDatatype="130" unbalanced="0"/>
    <cacheHierarchy uniqueName="[Tabla2].[Fecha (mes)]" caption="Fecha (mes)" attribute="1" defaultMemberUniqueName="[Tabla2].[Fecha (mes)].[All]" allUniqueName="[Tabla2].[Fecha (mes)].[All]" dimensionUniqueName="[Tabla2]" displayFolder="" count="0" memberValueDatatype="130" unbalanced="0"/>
    <cacheHierarchy uniqueName="[Tabla2].[mm.aa (año)]" caption="mm.aa (año)" attribute="1" defaultMemberUniqueName="[Tabla2].[mm.aa (año)].[All]" allUniqueName="[Tabla2].[mm.aa (año)].[All]" dimensionUniqueName="[Tabla2]" displayFolder="" count="0" memberValueDatatype="130" unbalanced="0"/>
    <cacheHierarchy uniqueName="[Tabla2].[mm.aa (trimestre)]" caption="mm.aa (trimestre)" attribute="1" defaultMemberUniqueName="[Tabla2].[mm.aa (trimestre)].[All]" allUniqueName="[Tabla2].[mm.aa (trimestre)].[All]" dimensionUniqueName="[Tabla2]" displayFolder="" count="0" memberValueDatatype="130" unbalanced="0"/>
    <cacheHierarchy uniqueName="[Tabla2].[mm.aa (mes)]" caption="mm.aa (mes)" attribute="1" defaultMemberUniqueName="[Tabla2].[mm.aa (mes)].[All]" allUniqueName="[Tabla2].[mm.aa (mes)].[All]" dimensionUniqueName="[Tabla2]" displayFolder="" count="0" memberValueDatatype="130" unbalanced="0"/>
    <cacheHierarchy uniqueName="[Tabla2].[Mes aprob (año)]" caption="Mes aprob (año)" attribute="1" defaultMemberUniqueName="[Tabla2].[Mes aprob (año)].[All]" allUniqueName="[Tabla2].[Mes aprob (año)].[All]" dimensionUniqueName="[Tabla2]" displayFolder="" count="0" memberValueDatatype="130" unbalanced="0"/>
    <cacheHierarchy uniqueName="[Tabla2].[Mes aprob (trimestre)]" caption="Mes aprob (trimestre)" attribute="1" defaultMemberUniqueName="[Tabla2].[Mes aprob (trimestre)].[All]" allUniqueName="[Tabla2].[Mes aprob (trimestre)].[All]" dimensionUniqueName="[Tabla2]" displayFolder="" count="0" memberValueDatatype="130" unbalanced="0"/>
    <cacheHierarchy uniqueName="[Tabla2].[Mes aprob (mes)]" caption="Mes aprob (mes)" attribute="1" defaultMemberUniqueName="[Tabla2].[Mes aprob (mes)].[All]" allUniqueName="[Tabla2].[Mes aprob (mes)].[All]" dimensionUniqueName="[Tabla2]" displayFolder="" count="0" memberValueDatatype="130" unbalanced="0"/>
    <cacheHierarchy uniqueName="[Tabla1].[Fecha aprobación (índice de meses)]" caption="Fecha aprobación (índice de meses)" attribute="1" defaultMemberUniqueName="[Tabla1].[Fecha aprobación (índice de meses)].[All]" allUniqueName="[Tabla1].[Fecha aprobación (índice de meses)].[All]" dimensionUniqueName="[Tabla1]" displayFolder="" count="0" memberValueDatatype="20" unbalanced="0" hidden="1"/>
    <cacheHierarchy uniqueName="[Tabla2].[Fecha (índice de meses)]" caption="Fecha (índice de meses)" attribute="1" defaultMemberUniqueName="[Tabla2].[Fecha (índice de meses)].[All]" allUniqueName="[Tabla2].[Fecha (índice de meses)].[All]" dimensionUniqueName="[Tabla2]" displayFolder="" count="0" memberValueDatatype="20" unbalanced="0" hidden="1"/>
    <cacheHierarchy uniqueName="[Tabla2].[Mes aprob (índice de meses)]" caption="Mes aprob (índice de meses)" attribute="1" defaultMemberUniqueName="[Tabla2].[Mes aprob (índice de meses)].[All]" allUniqueName="[Tabla2].[Mes aprob (índice de meses)].[All]" dimensionUniqueName="[Tabla2]" displayFolder="" count="0" memberValueDatatype="20" unbalanced="0" hidden="1"/>
    <cacheHierarchy uniqueName="[Tabla2].[mm.aa (índice de meses)]" caption="mm.aa (índice de meses)" attribute="1" defaultMemberUniqueName="[Tabla2].[mm.aa (índice de meses)].[All]" allUniqueName="[Tabla2].[mm.aa (índice de meses)].[All]" dimensionUniqueName="[Tabla2]" displayFolder="" count="0" memberValueDatatype="20" unbalanced="0" hidden="1"/>
    <cacheHierarchy uniqueName="[Measures].[__XL_Count Tabla2]" caption="__XL_Count Tabla2" measure="1" displayFolder="" measureGroup="Tabla2" count="0" hidden="1"/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  <cacheHierarchy uniqueName="[Measures].[Suma de Año Proy]" caption="Suma de Año Proy" measure="1" displayFolder="" measureGroup="Tabla2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Recuento de Proyecto]" caption="Recuento de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e SG5]" caption="Recuento de SG5" measure="1" displayFolder="" measureGroup="Tabla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Recuento de CRM]" caption="Recuento de CRM" measure="1" displayFolder="" measureGroup="Tabla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Exactus]" caption="Recuento de Exactus" measure="1" displayFolder="" measureGroup="Tabla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Recuento de Web]" caption="Recuento de Web" measure="1" displayFolder="" measureGroup="Tabla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Recuento de Estado proyecto]" caption="Recuento de Estado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Ejecutado S/.]" caption="Suma de Ejecutado S/." measure="1" displayFolder="" measureGroup="Tabla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Aprobado S/.]" caption="Suma de Aprobado S/." measure="1" displayFolder="" measureGroup="Tabla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Fecha aprobación]" caption="Recuento de Fecha aprobación" measure="1" displayFolder="" measureGroup="Tabla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a de Presupuesto S/.]" caption="Suma de Presupuesto S/." measure="1" displayFolder="" measureGroup="Tabla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Cuota]" caption="Suma de Cuota" measure="1" displayFolder="" measureGroup="Tabla2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de Año Proy 2]" caption="Suma de Año Proy 2" measure="1" displayFolder="" measureGroup="Tabla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de % Aprob]" caption="Suma de % Aprob" measure="1" displayFolder="" measureGroup="Tabla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% Ejec]" caption="Suma de % Ejec" measure="1" displayFolder="" measureGroup="Tabla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de Cuota S/.]" caption="Suma de Cuota S/." measure="1" displayFolder="" measureGroup="Tabla2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</cacheHierarchies>
  <kpis count="0"/>
  <dimensions count="3">
    <dimension measure="1" name="Measures" uniqueName="[Measures]" caption="Measures"/>
    <dimension name="Tabla1" uniqueName="[Tabla1]" caption="Tabla1"/>
    <dimension name="Tabla2" uniqueName="[Tabla2]" caption="Tabla2"/>
  </dimensions>
  <measureGroups count="2">
    <measureGroup name="Tabla1" caption="Tabla1"/>
    <measureGroup name="Tabla2" caption="Tabla2"/>
  </measureGroups>
  <maps count="3">
    <map measureGroup="0" dimension="1"/>
    <map measureGroup="1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laniz Andrea Arce Castillo" refreshedDate="45489.53140162037" backgroundQuery="1" createdVersion="8" refreshedVersion="8" minRefreshableVersion="3" recordCount="0" supportSubquery="1" supportAdvancedDrill="1" xr:uid="{123C3B08-A813-450B-9E92-7EBE3222D20E}">
  <cacheSource type="external" connectionId="1"/>
  <cacheFields count="5">
    <cacheField name="[Measures].[Suma de Cuota]" caption="Suma de Cuota" numFmtId="0" hierarchy="82" level="32767"/>
    <cacheField name="[Tabla2].[Estado].[Estado]" caption="Estado" numFmtId="0" hierarchy="50" level="1">
      <sharedItems containsSemiMixedTypes="0" containsNonDate="0" containsString="0"/>
    </cacheField>
    <cacheField name="[Tabla2].[Año Proy].[Año Proy]" caption="Año Proy" numFmtId="0" hierarchy="33" level="1">
      <sharedItems containsSemiMixedTypes="0" containsString="0" containsNumber="1" containsInteger="1" minValue="2022" maxValue="2024" count="3"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Tabla2].[Año Proy].&amp;[2022]"/>
            <x15:cachedUniqueName index="1" name="[Tabla2].[Año Proy].&amp;[2023]"/>
            <x15:cachedUniqueName index="2" name="[Tabla2].[Año Proy].&amp;[2024]"/>
          </x15:cachedUniqueNames>
        </ext>
      </extLst>
    </cacheField>
    <cacheField name="[Tabla2].[Cuenta].[Cuenta]" caption="Cuenta" numFmtId="0" hierarchy="47" level="1">
      <sharedItems containsSemiMixedTypes="0" containsNonDate="0" containsString="0"/>
    </cacheField>
    <cacheField name="[Tabla2].[Fecha].[Fecha]" caption="Fecha" numFmtId="0" hierarchy="34" level="1">
      <sharedItems containsSemiMixedTypes="0" containsNonDate="0" containsDate="1" containsString="0" minDate="2022-04-29T00:00:00" maxDate="2024-06-02T00:00:00" count="29">
        <d v="2022-04-29T00:00:00"/>
        <d v="2022-08-05T00:00:00"/>
        <d v="2022-10-18T00:00:00"/>
        <d v="2022-11-14T00:00:00"/>
        <d v="2022-11-21T00:00:00"/>
        <d v="2022-11-22T00:00:00"/>
        <d v="2022-12-15T00:00:00"/>
        <d v="2022-12-16T00:00:00"/>
        <d v="2023-01-19T00:00:00"/>
        <d v="2023-02-13T00:00:00"/>
        <d v="2023-02-17T00:00:00"/>
        <d v="2023-03-20T00:00:00"/>
        <d v="2023-04-19T00:00:00"/>
        <d v="2023-05-15T00:00:00"/>
        <d v="2023-05-18T00:00:00"/>
        <d v="2023-06-19T00:00:00"/>
        <d v="2023-06-21T00:00:00"/>
        <d v="2023-07-21T00:00:00"/>
        <d v="2023-08-17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</sharedItems>
    </cacheField>
  </cacheFields>
  <cacheHierarchies count="87">
    <cacheHierarchy uniqueName="[Tabla1].[Llave]" caption="Llave" attribute="1" defaultMemberUniqueName="[Tabla1].[Llave].[All]" allUniqueName="[Tabla1].[Llave].[All]" dimensionUniqueName="[Tabla1]" displayFolder="" count="0" memberValueDatatype="130" unbalanced="0"/>
    <cacheHierarchy uniqueName="[Tabla1].[ID]" caption="ID" attribute="1" defaultMemberUniqueName="[Tabla1].[ID].[All]" allUniqueName="[Tabla1].[ID].[All]" dimensionUniqueName="[Tabla1]" displayFolder="" count="0" memberValueDatatype="130" unbalanced="0"/>
    <cacheHierarchy uniqueName="[Tabla1].[Proyecto]" caption="Proyecto" attribute="1" defaultMemberUniqueName="[Tabla1].[Proyecto].[All]" allUniqueName="[Tabla1].[Proyecto].[All]" dimensionUniqueName="[Tabla1]" displayFolder="" count="0" memberValueDatatype="130" unbalanced="0"/>
    <cacheHierarchy uniqueName="[Tabla1].[Alcance]" caption="Alcance" attribute="1" defaultMemberUniqueName="[Tabla1].[Alcance].[All]" allUniqueName="[Tabla1].[Alcance].[All]" dimensionUniqueName="[Tabla1]" displayFolder="" count="0" memberValueDatatype="130" unbalanced="0"/>
    <cacheHierarchy uniqueName="[Tabla1].[Área]" caption="Área" attribute="1" defaultMemberUniqueName="[Tabla1].[Área].[All]" allUniqueName="[Tabla1].[Área].[All]" dimensionUniqueName="[Tabla1]" displayFolder="" count="0" memberValueDatatype="130" unbalanced="0"/>
    <cacheHierarchy uniqueName="[Tabla1].[Sub-Área]" caption="Sub-Área" attribute="1" defaultMemberUniqueName="[Tabla1].[Sub-Área].[All]" allUniqueName="[Tabla1].[Sub-Área].[All]" dimensionUniqueName="[Tabla1]" displayFolder="" count="0" memberValueDatatype="130" unbalanced="0"/>
    <cacheHierarchy uniqueName="[Tabla1].[Involucradas]" caption="Involucradas" attribute="1" defaultMemberUniqueName="[Tabla1].[Involucradas].[All]" allUniqueName="[Tabla1].[Involucradas].[All]" dimensionUniqueName="[Tabla1]" displayFolder="" count="0" memberValueDatatype="130" unbalanced="0"/>
    <cacheHierarchy uniqueName="[Tabla1].[Tamaño]" caption="Tamaño" attribute="1" defaultMemberUniqueName="[Tabla1].[Tamaño].[All]" allUniqueName="[Tabla1].[Tamaño].[All]" dimensionUniqueName="[Tabla1]" displayFolder="" count="0" memberValueDatatype="130" unbalanced="0"/>
    <cacheHierarchy uniqueName="[Tabla1].[Puntaje]" caption="Puntaje" attribute="1" defaultMemberUniqueName="[Tabla1].[Puntaje].[All]" allUniqueName="[Tabla1].[Puntaje].[All]" dimensionUniqueName="[Tabla1]" displayFolder="" count="0" memberValueDatatype="20" unbalanced="0"/>
    <cacheHierarchy uniqueName="[Tabla1].[Esfuerzo]" caption="Esfuerzo" attribute="1" defaultMemberUniqueName="[Tabla1].[Esfuerzo].[All]" allUniqueName="[Tabla1].[Esfuerzo].[All]" dimensionUniqueName="[Tabla1]" displayFolder="" count="0" memberValueDatatype="20" unbalanced="0"/>
    <cacheHierarchy uniqueName="[Tabla1].[Líder]" caption="Líder" attribute="1" defaultMemberUniqueName="[Tabla1].[Líder].[All]" allUniqueName="[Tabla1].[Líder].[All]" dimensionUniqueName="[Tabla1]" displayFolder="" count="0" memberValueDatatype="130" unbalanced="0"/>
    <cacheHierarchy uniqueName="[Tabla1].[P.Manager]" caption="P.Manager" attribute="1" defaultMemberUniqueName="[Tabla1].[P.Manager].[All]" allUniqueName="[Tabla1].[P.Manager].[All]" dimensionUniqueName="[Tabla1]" displayFolder="" count="0" memberValueDatatype="130" unbalanced="0"/>
    <cacheHierarchy uniqueName="[Tabla1].[Estado proyecto]" caption="Estado proyecto" attribute="1" defaultMemberUniqueName="[Tabla1].[Estado proyecto].[All]" allUniqueName="[Tabla1].[Estado proyecto].[All]" dimensionUniqueName="[Tabla1]" displayFolder="" count="0" memberValueDatatype="130" unbalanced="0"/>
    <cacheHierarchy uniqueName="[Tabla1].[Proveedor principal]" caption="Proveedor principal" attribute="1" defaultMemberUniqueName="[Tabla1].[Proveedor principal].[All]" allUniqueName="[Tabla1].[Proveedor principal].[All]" dimensionUniqueName="[Tabla1]" displayFolder="" count="0" memberValueDatatype="130" unbalanced="0"/>
    <cacheHierarchy uniqueName="[Tabla1].[SG5]" caption="SG5" attribute="1" defaultMemberUniqueName="[Tabla1].[SG5].[All]" allUniqueName="[Tabla1].[SG5].[All]" dimensionUniqueName="[Tabla1]" displayFolder="" count="0" memberValueDatatype="130" unbalanced="0"/>
    <cacheHierarchy uniqueName="[Tabla1].[CRM]" caption="CRM" attribute="1" defaultMemberUniqueName="[Tabla1].[CRM].[All]" allUniqueName="[Tabla1].[CRM].[All]" dimensionUniqueName="[Tabla1]" displayFolder="" count="0" memberValueDatatype="130" unbalanced="0"/>
    <cacheHierarchy uniqueName="[Tabla1].[Exactus]" caption="Exactus" attribute="1" defaultMemberUniqueName="[Tabla1].[Exactus].[All]" allUniqueName="[Tabla1].[Exactus].[All]" dimensionUniqueName="[Tabla1]" displayFolder="" count="0" memberValueDatatype="130" unbalanced="0"/>
    <cacheHierarchy uniqueName="[Tabla1].[Web]" caption="Web" attribute="1" defaultMemberUniqueName="[Tabla1].[Web].[All]" allUniqueName="[Tabla1].[Web].[All]" dimensionUniqueName="[Tabla1]" displayFolder="" count="0" memberValueDatatype="130" unbalanced="0"/>
    <cacheHierarchy uniqueName="[Tabla1].[Otros]" caption="Otros" attribute="1" defaultMemberUniqueName="[Tabla1].[Otros].[All]" allUniqueName="[Tabla1].[Otros].[All]" dimensionUniqueName="[Tabla1]" displayFolder="" count="0" memberValueDatatype="130" unbalanced="0"/>
    <cacheHierarchy uniqueName="[Tabla1].[Presupuesto S/.]" caption="Presupuesto S/." attribute="1" defaultMemberUniqueName="[Tabla1].[Presupuesto S/.].[All]" allUniqueName="[Tabla1].[Presupuesto S/.].[All]" dimensionUniqueName="[Tabla1]" displayFolder="" count="0" memberValueDatatype="20" unbalanced="0"/>
    <cacheHierarchy uniqueName="[Tabla1].[Aprobado S/.]" caption="Aprobado S/." attribute="1" defaultMemberUniqueName="[Tabla1].[Aprobado S/.].[All]" allUniqueName="[Tabla1].[Aprobado S/.].[All]" dimensionUniqueName="[Tabla1]" displayFolder="" count="0" memberValueDatatype="20" unbalanced="0"/>
    <cacheHierarchy uniqueName="[Tabla1].[% Aprob]" caption="% Aprob" attribute="1" defaultMemberUniqueName="[Tabla1].[% Aprob].[All]" allUniqueName="[Tabla1].[% Aprob].[All]" dimensionUniqueName="[Tabla1]" displayFolder="" count="0" memberValueDatatype="5" unbalanced="0"/>
    <cacheHierarchy uniqueName="[Tabla1].[Ejecutado S/.]" caption="Ejecutado S/." attribute="1" defaultMemberUniqueName="[Tabla1].[Ejecutado S/.].[All]" allUniqueName="[Tabla1].[Ejecutado S/.].[All]" dimensionUniqueName="[Tabla1]" displayFolder="" count="0" memberValueDatatype="20" unbalanced="0"/>
    <cacheHierarchy uniqueName="[Tabla1].[% Ejec]" caption="% Ejec" attribute="1" defaultMemberUniqueName="[Tabla1].[% Ejec].[All]" allUniqueName="[Tabla1].[% Ejec].[All]" dimensionUniqueName="[Tabla1]" displayFolder="" count="0" memberValueDatatype="5" unbalanced="0"/>
    <cacheHierarchy uniqueName="[Tabla1].[Estado presupuesto]" caption="Estado presupuesto" attribute="1" defaultMemberUniqueName="[Tabla1].[Estado presupuesto].[All]" allUniqueName="[Tabla1].[Estado presupuesto].[All]" dimensionUniqueName="[Tabla1]" displayFolder="" count="0" memberValueDatatype="130" unbalanced="0"/>
    <cacheHierarchy uniqueName="[Tabla1].[Fecha aprobación]" caption="Fecha aprobación" attribute="1" time="1" defaultMemberUniqueName="[Tabla1].[Fecha aprobación].[All]" allUniqueName="[Tabla1].[Fecha aprobación].[All]" dimensionUniqueName="[Tabla1]" displayFolder="" count="0" memberValueDatatype="7" unbalanced="0"/>
    <cacheHierarchy uniqueName="[Tabla1].[mm.aa fch aprob]" caption="mm.aa fch aprob" attribute="1" time="1" defaultMemberUniqueName="[Tabla1].[mm.aa fch aprob].[All]" allUniqueName="[Tabla1].[mm.aa fch aprob].[All]" dimensionUniqueName="[Tabla1]" displayFolder="" count="0" memberValueDatatype="7" unbalanced="0"/>
    <cacheHierarchy uniqueName="[Tabla1].[Año Proy]" caption="Año Proy" attribute="1" defaultMemberUniqueName="[Tabla1].[Año Proy].[All]" allUniqueName="[Tabla1].[Año Proy].[All]" dimensionUniqueName="[Tabla1]" displayFolder="" count="0" memberValueDatatype="20" unbalanced="0"/>
    <cacheHierarchy uniqueName="[Tabla1].[Línea de negocio]" caption="Línea de negocio" attribute="1" defaultMemberUniqueName="[Tabla1].[Línea de negocio].[All]" allUniqueName="[Tabla1].[Línea de negocio].[All]" dimensionUniqueName="[Tabla1]" displayFolder="" count="0" memberValueDatatype="130" unbalanced="0"/>
    <cacheHierarchy uniqueName="[Tabla1].[País]" caption="País" attribute="1" defaultMemberUniqueName="[Tabla1].[País].[All]" allUniqueName="[Tabla1].[País].[All]" dimensionUniqueName="[Tabla1]" displayFolder="" count="0" memberValueDatatype="130" unbalanced="0"/>
    <cacheHierarchy uniqueName="[Tabla1].[Fecha aprobación (mes)]" caption="Fecha aprobación (mes)" attribute="1" defaultMemberUniqueName="[Tabla1].[Fecha aprobación (mes)].[All]" allUniqueName="[Tabla1].[Fecha aprobación (mes)].[All]" dimensionUniqueName="[Tabla1]" displayFolder="" count="0" memberValueDatatype="130" unbalanced="0"/>
    <cacheHierarchy uniqueName="[Tabla2].[Llave]" caption="Llave" attribute="1" defaultMemberUniqueName="[Tabla2].[Llave].[All]" allUniqueName="[Tabla2].[Llave].[All]" dimensionUniqueName="[Tabla2]" displayFolder="" count="0" memberValueDatatype="130" unbalanced="0"/>
    <cacheHierarchy uniqueName="[Tabla2].[ID]" caption="ID" attribute="1" defaultMemberUniqueName="[Tabla2].[ID].[All]" allUniqueName="[Tabla2].[ID].[All]" dimensionUniqueName="[Tabla2]" displayFolder="" count="0" memberValueDatatype="130" unbalanced="0"/>
    <cacheHierarchy uniqueName="[Tabla2].[Año Proy]" caption="Año Proy" attribute="1" defaultMemberUniqueName="[Tabla2].[Año Proy].[All]" allUniqueName="[Tabla2].[Año Proy].[All]" dimensionUniqueName="[Tabla2]" displayFolder="" count="2" memberValueDatatype="20" unbalanced="0">
      <fieldsUsage count="2">
        <fieldUsage x="-1"/>
        <fieldUsage x="2"/>
      </fieldsUsage>
    </cacheHierarchy>
    <cacheHierarchy uniqueName="[Tabla2].[Fecha]" caption="Fecha" attribute="1" time="1" defaultMemberUniqueName="[Tabla2].[Fecha].[All]" allUniqueName="[Tabla2].[Fecha].[All]" dimensionUniqueName="[Tabla2]" displayFolder="" count="2" memberValueDatatype="7" unbalanced="0">
      <fieldsUsage count="2">
        <fieldUsage x="-1"/>
        <fieldUsage x="4"/>
      </fieldsUsage>
    </cacheHierarchy>
    <cacheHierarchy uniqueName="[Tabla2].[Proveedor]" caption="Proveedor" attribute="1" defaultMemberUniqueName="[Tabla2].[Proveedor].[All]" allUniqueName="[Tabla2].[Proveedor].[All]" dimensionUniqueName="[Tabla2]" displayFolder="" count="0" memberValueDatatype="130" unbalanced="0"/>
    <cacheHierarchy uniqueName="[Tabla2].[Código]" caption="Código" attribute="1" defaultMemberUniqueName="[Tabla2].[Código].[All]" allUniqueName="[Tabla2].[Código].[All]" dimensionUniqueName="[Tabla2]" displayFolder="" count="0" memberValueDatatype="130" unbalanced="0"/>
    <cacheHierarchy uniqueName="[Tabla2].[Factura]" caption="Factura" attribute="1" defaultMemberUniqueName="[Tabla2].[Factura].[All]" allUniqueName="[Tabla2].[Factura].[All]" dimensionUniqueName="[Tabla2]" displayFolder="" count="0" memberValueDatatype="130" unbalanced="0"/>
    <cacheHierarchy uniqueName="[Tabla2].[Mes aprob]" caption="Mes aprob" attribute="1" time="1" defaultMemberUniqueName="[Tabla2].[Mes aprob].[All]" allUniqueName="[Tabla2].[Mes aprob].[All]" dimensionUniqueName="[Tabla2]" displayFolder="" count="0" memberValueDatatype="7" unbalanced="0"/>
    <cacheHierarchy uniqueName="[Tabla2].[OS]" caption="OS" attribute="1" defaultMemberUniqueName="[Tabla2].[OS].[All]" allUniqueName="[Tabla2].[OS].[All]" dimensionUniqueName="[Tabla2]" displayFolder="" count="0" memberValueDatatype="130" unbalanced="0"/>
    <cacheHierarchy uniqueName="[Tabla2].[Proyecto]" caption="Proyecto" attribute="1" defaultMemberUniqueName="[Tabla2].[Proyecto].[All]" allUniqueName="[Tabla2].[Proyecto].[All]" dimensionUniqueName="[Tabla2]" displayFolder="" count="0" memberValueDatatype="130" unbalanced="0"/>
    <cacheHierarchy uniqueName="[Tabla2].[# Cuota]" caption="# Cuota" attribute="1" defaultMemberUniqueName="[Tabla2].[# Cuota].[All]" allUniqueName="[Tabla2].[# Cuota].[All]" dimensionUniqueName="[Tabla2]" displayFolder="" count="0" memberValueDatatype="20" unbalanced="0"/>
    <cacheHierarchy uniqueName="[Tabla2].[Detalle cuota]" caption="Detalle cuota" attribute="1" defaultMemberUniqueName="[Tabla2].[Detalle cuota].[All]" allUniqueName="[Tabla2].[Detalle cuota].[All]" dimensionUniqueName="[Tabla2]" displayFolder="" count="0" memberValueDatatype="130" unbalanced="0"/>
    <cacheHierarchy uniqueName="[Tabla2].[Cuota]" caption="Cuota" attribute="1" defaultMemberUniqueName="[Tabla2].[Cuota].[All]" allUniqueName="[Tabla2].[Cuota].[All]" dimensionUniqueName="[Tabla2]" displayFolder="" count="0" memberValueDatatype="5" unbalanced="0"/>
    <cacheHierarchy uniqueName="[Tabla2].[Total cuotas]" caption="Total cuotas" attribute="1" defaultMemberUniqueName="[Tabla2].[Total cuotas].[All]" allUniqueName="[Tabla2].[Total cuotas].[All]" dimensionUniqueName="[Tabla2]" displayFolder="" count="0" memberValueDatatype="20" unbalanced="0"/>
    <cacheHierarchy uniqueName="[Tabla2].[Moneda]" caption="Moneda" attribute="1" defaultMemberUniqueName="[Tabla2].[Moneda].[All]" allUniqueName="[Tabla2].[Moneda].[All]" dimensionUniqueName="[Tabla2]" displayFolder="" count="0" memberValueDatatype="130" unbalanced="0"/>
    <cacheHierarchy uniqueName="[Tabla2].[Cuota S/.]" caption="Cuota S/." attribute="1" defaultMemberUniqueName="[Tabla2].[Cuota S/.].[All]" allUniqueName="[Tabla2].[Cuota S/.].[All]" dimensionUniqueName="[Tabla2]" displayFolder="" count="0" memberValueDatatype="5" unbalanced="0"/>
    <cacheHierarchy uniqueName="[Tabla2].[Cuenta]" caption="Cuenta" attribute="1" defaultMemberUniqueName="[Tabla2].[Cuenta].[All]" allUniqueName="[Tabla2].[Cuenta].[All]" dimensionUniqueName="[Tabla2]" displayFolder="" count="2" memberValueDatatype="130" unbalanced="0">
      <fieldsUsage count="2">
        <fieldUsage x="-1"/>
        <fieldUsage x="3"/>
      </fieldsUsage>
    </cacheHierarchy>
    <cacheHierarchy uniqueName="[Tabla2].[País]" caption="País" attribute="1" defaultMemberUniqueName="[Tabla2].[País].[All]" allUniqueName="[Tabla2].[País].[All]" dimensionUniqueName="[Tabla2]" displayFolder="" count="0" memberValueDatatype="130" unbalanced="0"/>
    <cacheHierarchy uniqueName="[Tabla2].[Área]" caption="Área" attribute="1" defaultMemberUniqueName="[Tabla2].[Área].[All]" allUniqueName="[Tabla2].[Área].[All]" dimensionUniqueName="[Tabla2]" displayFolder="" count="0" memberValueDatatype="130" unbalanced="0"/>
    <cacheHierarchy uniqueName="[Tabla2].[Estado]" caption="Estado" attribute="1" defaultMemberUniqueName="[Tabla2].[Estado].[All]" allUniqueName="[Tabla2].[Estado].[All]" dimensionUniqueName="[Tabla2]" displayFolder="" count="2" memberValueDatatype="130" unbalanced="0">
      <fieldsUsage count="2">
        <fieldUsage x="-1"/>
        <fieldUsage x="1"/>
      </fieldsUsage>
    </cacheHierarchy>
    <cacheHierarchy uniqueName="[Tabla2].[F Venc]" caption="F Venc" attribute="1" defaultMemberUniqueName="[Tabla2].[F Venc].[All]" allUniqueName="[Tabla2].[F Venc].[All]" dimensionUniqueName="[Tabla2]" displayFolder="" count="0" memberValueDatatype="130" unbalanced="0"/>
    <cacheHierarchy uniqueName="[Tabla2].[Fecha pago]" caption="Fecha pago" attribute="1" defaultMemberUniqueName="[Tabla2].[Fecha pago].[All]" allUniqueName="[Tabla2].[Fecha pago].[All]" dimensionUniqueName="[Tabla2]" displayFolder="" count="0" memberValueDatatype="130" unbalanced="0"/>
    <cacheHierarchy uniqueName="[Tabla2].[mm.aa]" caption="mm.aa" attribute="1" time="1" defaultMemberUniqueName="[Tabla2].[mm.aa].[All]" allUniqueName="[Tabla2].[mm.aa].[All]" dimensionUniqueName="[Tabla2]" displayFolder="" count="0" memberValueDatatype="7" unbalanced="0"/>
    <cacheHierarchy uniqueName="[Tabla2].[Sistema]" caption="Sistema" attribute="1" defaultMemberUniqueName="[Tabla2].[Sistema].[All]" allUniqueName="[Tabla2].[Sistema].[All]" dimensionUniqueName="[Tabla2]" displayFolder="" count="0" memberValueDatatype="130" unbalanced="0"/>
    <cacheHierarchy uniqueName="[Tabla2].[Fecha (año)]" caption="Fecha (año)" attribute="1" defaultMemberUniqueName="[Tabla2].[Fecha (año)].[All]" allUniqueName="[Tabla2].[Fecha (año)].[All]" dimensionUniqueName="[Tabla2]" displayFolder="" count="0" memberValueDatatype="130" unbalanced="0"/>
    <cacheHierarchy uniqueName="[Tabla2].[Fecha (trimestre)]" caption="Fecha (trimestre)" attribute="1" defaultMemberUniqueName="[Tabla2].[Fecha (trimestre)].[All]" allUniqueName="[Tabla2].[Fecha (trimestre)].[All]" dimensionUniqueName="[Tabla2]" displayFolder="" count="0" memberValueDatatype="130" unbalanced="0"/>
    <cacheHierarchy uniqueName="[Tabla2].[Fecha (mes)]" caption="Fecha (mes)" attribute="1" defaultMemberUniqueName="[Tabla2].[Fecha (mes)].[All]" allUniqueName="[Tabla2].[Fecha (mes)].[All]" dimensionUniqueName="[Tabla2]" displayFolder="" count="0" memberValueDatatype="130" unbalanced="0"/>
    <cacheHierarchy uniqueName="[Tabla2].[mm.aa (año)]" caption="mm.aa (año)" attribute="1" defaultMemberUniqueName="[Tabla2].[mm.aa (año)].[All]" allUniqueName="[Tabla2].[mm.aa (año)].[All]" dimensionUniqueName="[Tabla2]" displayFolder="" count="0" memberValueDatatype="130" unbalanced="0"/>
    <cacheHierarchy uniqueName="[Tabla2].[mm.aa (trimestre)]" caption="mm.aa (trimestre)" attribute="1" defaultMemberUniqueName="[Tabla2].[mm.aa (trimestre)].[All]" allUniqueName="[Tabla2].[mm.aa (trimestre)].[All]" dimensionUniqueName="[Tabla2]" displayFolder="" count="0" memberValueDatatype="130" unbalanced="0"/>
    <cacheHierarchy uniqueName="[Tabla2].[mm.aa (mes)]" caption="mm.aa (mes)" attribute="1" defaultMemberUniqueName="[Tabla2].[mm.aa (mes)].[All]" allUniqueName="[Tabla2].[mm.aa (mes)].[All]" dimensionUniqueName="[Tabla2]" displayFolder="" count="0" memberValueDatatype="130" unbalanced="0"/>
    <cacheHierarchy uniqueName="[Tabla2].[Mes aprob (año)]" caption="Mes aprob (año)" attribute="1" defaultMemberUniqueName="[Tabla2].[Mes aprob (año)].[All]" allUniqueName="[Tabla2].[Mes aprob (año)].[All]" dimensionUniqueName="[Tabla2]" displayFolder="" count="0" memberValueDatatype="130" unbalanced="0"/>
    <cacheHierarchy uniqueName="[Tabla2].[Mes aprob (trimestre)]" caption="Mes aprob (trimestre)" attribute="1" defaultMemberUniqueName="[Tabla2].[Mes aprob (trimestre)].[All]" allUniqueName="[Tabla2].[Mes aprob (trimestre)].[All]" dimensionUniqueName="[Tabla2]" displayFolder="" count="0" memberValueDatatype="130" unbalanced="0"/>
    <cacheHierarchy uniqueName="[Tabla2].[Mes aprob (mes)]" caption="Mes aprob (mes)" attribute="1" defaultMemberUniqueName="[Tabla2].[Mes aprob (mes)].[All]" allUniqueName="[Tabla2].[Mes aprob (mes)].[All]" dimensionUniqueName="[Tabla2]" displayFolder="" count="0" memberValueDatatype="130" unbalanced="0"/>
    <cacheHierarchy uniqueName="[Tabla1].[Fecha aprobación (índice de meses)]" caption="Fecha aprobación (índice de meses)" attribute="1" defaultMemberUniqueName="[Tabla1].[Fecha aprobación (índice de meses)].[All]" allUniqueName="[Tabla1].[Fecha aprobación (índice de meses)].[All]" dimensionUniqueName="[Tabla1]" displayFolder="" count="0" memberValueDatatype="20" unbalanced="0" hidden="1"/>
    <cacheHierarchy uniqueName="[Tabla2].[Fecha (índice de meses)]" caption="Fecha (índice de meses)" attribute="1" defaultMemberUniqueName="[Tabla2].[Fecha (índice de meses)].[All]" allUniqueName="[Tabla2].[Fecha (índice de meses)].[All]" dimensionUniqueName="[Tabla2]" displayFolder="" count="0" memberValueDatatype="20" unbalanced="0" hidden="1"/>
    <cacheHierarchy uniqueName="[Tabla2].[Mes aprob (índice de meses)]" caption="Mes aprob (índice de meses)" attribute="1" defaultMemberUniqueName="[Tabla2].[Mes aprob (índice de meses)].[All]" allUniqueName="[Tabla2].[Mes aprob (índice de meses)].[All]" dimensionUniqueName="[Tabla2]" displayFolder="" count="0" memberValueDatatype="20" unbalanced="0" hidden="1"/>
    <cacheHierarchy uniqueName="[Tabla2].[mm.aa (índice de meses)]" caption="mm.aa (índice de meses)" attribute="1" defaultMemberUniqueName="[Tabla2].[mm.aa (índice de meses)].[All]" allUniqueName="[Tabla2].[mm.aa (índice de meses)].[All]" dimensionUniqueName="[Tabla2]" displayFolder="" count="0" memberValueDatatype="20" unbalanced="0" hidden="1"/>
    <cacheHierarchy uniqueName="[Measures].[__XL_Count Tabla2]" caption="__XL_Count Tabla2" measure="1" displayFolder="" measureGroup="Tabla2" count="0" hidden="1"/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  <cacheHierarchy uniqueName="[Measures].[Suma de Año Proy]" caption="Suma de Año Proy" measure="1" displayFolder="" measureGroup="Tabla2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Recuento de Proyecto]" caption="Recuento de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e SG5]" caption="Recuento de SG5" measure="1" displayFolder="" measureGroup="Tabla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Recuento de CRM]" caption="Recuento de CRM" measure="1" displayFolder="" measureGroup="Tabla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Exactus]" caption="Recuento de Exactus" measure="1" displayFolder="" measureGroup="Tabla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Recuento de Web]" caption="Recuento de Web" measure="1" displayFolder="" measureGroup="Tabla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Recuento de Estado proyecto]" caption="Recuento de Estado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Ejecutado S/.]" caption="Suma de Ejecutado S/." measure="1" displayFolder="" measureGroup="Tabla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Aprobado S/.]" caption="Suma de Aprobado S/." measure="1" displayFolder="" measureGroup="Tabla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Fecha aprobación]" caption="Recuento de Fecha aprobación" measure="1" displayFolder="" measureGroup="Tabla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a de Presupuesto S/.]" caption="Suma de Presupuesto S/." measure="1" displayFolder="" measureGroup="Tabla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Cuota]" caption="Suma de Cuota" measure="1" displayFolder="" measureGroup="Tabla2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de Año Proy 2]" caption="Suma de Año Proy 2" measure="1" displayFolder="" measureGroup="Tabla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de % Aprob]" caption="Suma de % Aprob" measure="1" displayFolder="" measureGroup="Tabla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% Ejec]" caption="Suma de % Ejec" measure="1" displayFolder="" measureGroup="Tabla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de Cuota S/.]" caption="Suma de Cuota S/." measure="1" displayFolder="" measureGroup="Tabla2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</cacheHierarchies>
  <kpis count="0"/>
  <dimensions count="3">
    <dimension measure="1" name="Measures" uniqueName="[Measures]" caption="Measures"/>
    <dimension name="Tabla1" uniqueName="[Tabla1]" caption="Tabla1"/>
    <dimension name="Tabla2" uniqueName="[Tabla2]" caption="Tabla2"/>
  </dimensions>
  <measureGroups count="2">
    <measureGroup name="Tabla1" caption="Tabla1"/>
    <measureGroup name="Tabla2" caption="Tabla2"/>
  </measureGroups>
  <maps count="3">
    <map measureGroup="0" dimension="1"/>
    <map measureGroup="1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aniz Andrea Arce Castillo" refreshedDate="45489.531409722222" createdVersion="8" refreshedVersion="8" minRefreshableVersion="3" recordCount="39" xr:uid="{6CAB3AD5-F360-4B9E-89F5-39841CB92D3F}">
  <cacheSource type="worksheet">
    <worksheetSource name="Tabla1"/>
  </cacheSource>
  <cacheFields count="33">
    <cacheField name="Llave" numFmtId="0">
      <sharedItems/>
    </cacheField>
    <cacheField name="ID" numFmtId="0">
      <sharedItems/>
    </cacheField>
    <cacheField name="Proyecto" numFmtId="0">
      <sharedItems/>
    </cacheField>
    <cacheField name="Alcance" numFmtId="0">
      <sharedItems containsBlank="1"/>
    </cacheField>
    <cacheField name="Área" numFmtId="0">
      <sharedItems/>
    </cacheField>
    <cacheField name="Sub-Área" numFmtId="0">
      <sharedItems containsBlank="1"/>
    </cacheField>
    <cacheField name="Involucradas" numFmtId="0">
      <sharedItems containsBlank="1"/>
    </cacheField>
    <cacheField name="Tamaño" numFmtId="0">
      <sharedItems containsBlank="1"/>
    </cacheField>
    <cacheField name="Puntaje" numFmtId="0">
      <sharedItems containsSemiMixedTypes="0" containsString="0" containsNumber="1" containsInteger="1" minValue="0" maxValue="8"/>
    </cacheField>
    <cacheField name="Esfuerzo" numFmtId="0">
      <sharedItems containsString="0" containsBlank="1" containsNumber="1" containsInteger="1" minValue="0" maxValue="8"/>
    </cacheField>
    <cacheField name="Líder" numFmtId="0">
      <sharedItems containsBlank="1"/>
    </cacheField>
    <cacheField name="P.Manager" numFmtId="0">
      <sharedItems/>
    </cacheField>
    <cacheField name="Estado proyecto" numFmtId="0">
      <sharedItems/>
    </cacheField>
    <cacheField name="Proveedor principal" numFmtId="0">
      <sharedItems containsBlank="1"/>
    </cacheField>
    <cacheField name="SG5" numFmtId="0">
      <sharedItems containsBlank="1"/>
    </cacheField>
    <cacheField name="CRM" numFmtId="0">
      <sharedItems containsBlank="1"/>
    </cacheField>
    <cacheField name="Exactus" numFmtId="0">
      <sharedItems containsBlank="1"/>
    </cacheField>
    <cacheField name="Web" numFmtId="0">
      <sharedItems containsBlank="1"/>
    </cacheField>
    <cacheField name="Otros" numFmtId="0">
      <sharedItems containsBlank="1"/>
    </cacheField>
    <cacheField name="Presupuesto_x000a_S/." numFmtId="44">
      <sharedItems containsString="0" containsBlank="1" containsNumber="1" containsInteger="1" minValue="0" maxValue="35000"/>
    </cacheField>
    <cacheField name="Aprobado_x000a_S/." numFmtId="44">
      <sharedItems containsSemiMixedTypes="0" containsString="0" containsNumber="1" containsInteger="1" minValue="0" maxValue="56100"/>
    </cacheField>
    <cacheField name="%_x000a_Aprob" numFmtId="10">
      <sharedItems containsSemiMixedTypes="0" containsString="0" containsNumber="1" minValue="0" maxValue="0.21914062500000001"/>
    </cacheField>
    <cacheField name="Ejecutado_x000a_S/." numFmtId="44">
      <sharedItems containsSemiMixedTypes="0" containsString="0" containsNumber="1" containsInteger="1" minValue="0" maxValue="51100"/>
    </cacheField>
    <cacheField name="%_x000a_Ejec" numFmtId="10">
      <sharedItems containsSemiMixedTypes="0" containsString="0" containsNumber="1" minValue="0" maxValue="0.19960937500000001"/>
    </cacheField>
    <cacheField name="Estado presupuesto" numFmtId="44">
      <sharedItems/>
    </cacheField>
    <cacheField name="Fecha aprobación" numFmtId="17">
      <sharedItems containsNonDate="0" containsDate="1" containsString="0" containsBlank="1" minDate="2023-01-01T00:00:00" maxDate="2024-07-02T00:00:00"/>
    </cacheField>
    <cacheField name="mm.aa_x000a_fch aprob" numFmtId="17">
      <sharedItems containsSemiMixedTypes="0" containsNonDate="0" containsDate="1" containsString="0" minDate="1899-12-31T00:00:00" maxDate="2024-07-02T00:00:00" count="14">
        <d v="2023-12-01T00:00:00"/>
        <d v="2023-03-01T00:00:00"/>
        <d v="2023-05-01T00:00:00"/>
        <d v="2023-10-01T00:00:00"/>
        <d v="1899-12-31T00:00:00"/>
        <d v="2023-08-01T00:00:00"/>
        <d v="2023-11-01T00:00:00"/>
        <d v="2023-02-01T00:00:00"/>
        <d v="2023-04-01T00:00:00"/>
        <d v="2023-01-01T00:00:00"/>
        <d v="2024-06-01T00:00:00"/>
        <d v="2024-01-01T00:00:00"/>
        <d v="2024-03-01T00:00:00"/>
        <d v="2024-07-01T00:00:00"/>
      </sharedItems>
      <fieldGroup par="32"/>
    </cacheField>
    <cacheField name="Año Proy" numFmtId="0">
      <sharedItems containsSemiMixedTypes="0" containsString="0" containsNumber="1" containsInteger="1" minValue="2023" maxValue="2024" count="2">
        <n v="2023"/>
        <n v="2024"/>
      </sharedItems>
    </cacheField>
    <cacheField name="Línea de negocio" numFmtId="0">
      <sharedItems/>
    </cacheField>
    <cacheField name="País" numFmtId="44">
      <sharedItems/>
    </cacheField>
    <cacheField name="Meses (mm.aa_x000a_fch aprob)" numFmtId="0" databaseField="0">
      <fieldGroup base="26">
        <rangePr groupBy="months" startDate="1899-12-31T00:00:00" endDate="2024-07-02T00:00:00"/>
        <groupItems count="14">
          <s v="&lt;1/01/1900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2/07/2024"/>
        </groupItems>
      </fieldGroup>
    </cacheField>
    <cacheField name="Trimestres (mm.aa_x000a_fch aprob)" numFmtId="0" databaseField="0">
      <fieldGroup base="26">
        <rangePr groupBy="quarters" startDate="1899-12-31T00:00:00" endDate="2024-07-02T00:00:00"/>
        <groupItems count="6">
          <s v="&lt;1/01/1900"/>
          <s v="Trim.1"/>
          <s v="Trim.2"/>
          <s v="Trim.3"/>
          <s v="Trim.4"/>
          <s v="&gt;2/07/2024"/>
        </groupItems>
      </fieldGroup>
    </cacheField>
    <cacheField name="Años (mm.aa_x000a_fch aprob)" numFmtId="0" databaseField="0">
      <fieldGroup base="26">
        <rangePr groupBy="years" startDate="1899-12-31T00:00:00" endDate="2024-07-02T00:00:00"/>
        <groupItems count="127">
          <s v="&lt;1/01/1900"/>
          <s v="1900"/>
          <s v="1901"/>
          <s v="1902"/>
          <s v="1903"/>
          <s v="1904"/>
          <s v="1905"/>
          <s v="1906"/>
          <s v="1907"/>
          <s v="1908"/>
          <s v="1909"/>
          <s v="1910"/>
          <s v="1911"/>
          <s v="1912"/>
          <s v="1913"/>
          <s v="1914"/>
          <s v="1915"/>
          <s v="1916"/>
          <s v="1917"/>
          <s v="1918"/>
          <s v="1919"/>
          <s v="1920"/>
          <s v="1921"/>
          <s v="1922"/>
          <s v="1923"/>
          <s v="1924"/>
          <s v="1925"/>
          <s v="1926"/>
          <s v="1927"/>
          <s v="1928"/>
          <s v="1929"/>
          <s v="1930"/>
          <s v="1931"/>
          <s v="1932"/>
          <s v="1933"/>
          <s v="1934"/>
          <s v="1935"/>
          <s v="1936"/>
          <s v="1937"/>
          <s v="1938"/>
          <s v="1939"/>
          <s v="1940"/>
          <s v="1941"/>
          <s v="1942"/>
          <s v="1943"/>
          <s v="1944"/>
          <s v="1945"/>
          <s v="1946"/>
          <s v="1947"/>
          <s v="1948"/>
          <s v="1949"/>
          <s v="1950"/>
          <s v="1951"/>
          <s v="1952"/>
          <s v="1953"/>
          <s v="1954"/>
          <s v="1955"/>
          <s v="1956"/>
          <s v="1957"/>
          <s v="1958"/>
          <s v="1959"/>
          <s v="1960"/>
          <s v="1961"/>
          <s v="1962"/>
          <s v="1963"/>
          <s v="1964"/>
          <s v="1965"/>
          <s v="1966"/>
          <s v="1967"/>
          <s v="1968"/>
          <s v="1969"/>
          <s v="1970"/>
          <s v="1971"/>
          <s v="1972"/>
          <s v="1973"/>
          <s v="1974"/>
          <s v="1975"/>
          <s v="1976"/>
          <s v="1977"/>
          <s v="1978"/>
          <s v="1979"/>
          <s v="1980"/>
          <s v="1981"/>
          <s v="1982"/>
          <s v="1983"/>
          <s v="1984"/>
          <s v="1985"/>
          <s v="1986"/>
          <s v="1987"/>
          <s v="1988"/>
          <s v="1989"/>
          <s v="1990"/>
          <s v="1991"/>
          <s v="1992"/>
          <s v="1993"/>
          <s v="1994"/>
          <s v="1995"/>
          <s v="1996"/>
          <s v="1997"/>
          <s v="1998"/>
          <s v="1999"/>
          <s v="2000"/>
          <s v="2001"/>
          <s v="2002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&gt;2/07/2024"/>
        </groupItems>
      </fieldGroup>
    </cacheField>
  </cacheFields>
  <extLst>
    <ext xmlns:x14="http://schemas.microsoft.com/office/spreadsheetml/2009/9/main" uri="{725AE2AE-9491-48be-B2B4-4EB974FC3084}">
      <x14:pivotCacheDefinition pivotCacheId="1109344698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aniz Andrea Arce Castillo" refreshedDate="45489.531410532407" createdVersion="8" refreshedVersion="8" minRefreshableVersion="3" recordCount="141" xr:uid="{15BD4379-0835-4DCF-B307-DF176A7DAA31}">
  <cacheSource type="worksheet">
    <worksheetSource name="Tabla2"/>
  </cacheSource>
  <cacheFields count="24">
    <cacheField name="Llave" numFmtId="0">
      <sharedItems/>
    </cacheField>
    <cacheField name="ID" numFmtId="0">
      <sharedItems containsBlank="1"/>
    </cacheField>
    <cacheField name="Año Proy" numFmtId="0">
      <sharedItems containsSemiMixedTypes="0" containsString="0" containsNumber="1" containsInteger="1" minValue="2022" maxValue="2024" count="3">
        <n v="2022"/>
        <n v="2023"/>
        <n v="2024"/>
      </sharedItems>
    </cacheField>
    <cacheField name="Fecha" numFmtId="17">
      <sharedItems containsSemiMixedTypes="0" containsNonDate="0" containsDate="1" containsString="0" minDate="2022-04-29T00:00:00" maxDate="2025-01-02T00:00:00"/>
    </cacheField>
    <cacheField name="Proveedor" numFmtId="0">
      <sharedItems/>
    </cacheField>
    <cacheField name="Código" numFmtId="0">
      <sharedItems containsBlank="1"/>
    </cacheField>
    <cacheField name="Factura" numFmtId="0">
      <sharedItems containsBlank="1"/>
    </cacheField>
    <cacheField name="Mes aprob" numFmtId="17">
      <sharedItems containsNonDate="0" containsDate="1" containsString="0" containsBlank="1" minDate="2023-01-01T00:00:00" maxDate="2024-07-02T00:00:00"/>
    </cacheField>
    <cacheField name="OS" numFmtId="0">
      <sharedItems containsBlank="1"/>
    </cacheField>
    <cacheField name="Proyecto" numFmtId="0">
      <sharedItems/>
    </cacheField>
    <cacheField name="# Cuota" numFmtId="0">
      <sharedItems containsString="0" containsBlank="1" containsNumber="1" containsInteger="1" minValue="1" maxValue="12"/>
    </cacheField>
    <cacheField name="Detalle cuota" numFmtId="0">
      <sharedItems/>
    </cacheField>
    <cacheField name="Cuota" numFmtId="0">
      <sharedItems containsSemiMixedTypes="0" containsString="0" containsNumber="1" minValue="200" maxValue="11960"/>
    </cacheField>
    <cacheField name="Total cuotas" numFmtId="0">
      <sharedItems containsSemiMixedTypes="0" containsString="0" containsNumber="1" containsInteger="1" minValue="200" maxValue="61200"/>
    </cacheField>
    <cacheField name="Moneda" numFmtId="44">
      <sharedItems/>
    </cacheField>
    <cacheField name="Cuota S/." numFmtId="44">
      <sharedItems containsSemiMixedTypes="0" containsString="0" containsNumber="1" minValue="240" maxValue="63080.000000000007"/>
    </cacheField>
    <cacheField name="Cuenta" numFmtId="0">
      <sharedItems containsBlank="1" count="3">
        <s v="Cuenta 34: Activo intangible"/>
        <s v="Gasto"/>
        <m u="1"/>
      </sharedItems>
    </cacheField>
    <cacheField name="País" numFmtId="0">
      <sharedItems/>
    </cacheField>
    <cacheField name="Área" numFmtId="0">
      <sharedItems/>
    </cacheField>
    <cacheField name="Estado" numFmtId="0">
      <sharedItems containsBlank="1"/>
    </cacheField>
    <cacheField name="F Venc" numFmtId="0">
      <sharedItems containsDate="1" containsBlank="1" containsMixedTypes="1" minDate="2023-09-04T00:00:00" maxDate="2024-08-06T00:00:00"/>
    </cacheField>
    <cacheField name="Fecha pago" numFmtId="17">
      <sharedItems containsDate="1" containsBlank="1" containsMixedTypes="1" minDate="2022-04-01T00:00:00" maxDate="2024-07-02T00:00:00"/>
    </cacheField>
    <cacheField name="mm.aa" numFmtId="17">
      <sharedItems containsSemiMixedTypes="0" containsNonDate="0" containsDate="1" containsString="0" minDate="1899-12-31T00:00:00" maxDate="2025-01-02T00:00:00" count="31">
        <d v="2022-04-01T00:00:00"/>
        <d v="2022-08-01T00:00:00"/>
        <d v="2022-10-01T00:00:00"/>
        <d v="2022-11-01T00:00:00"/>
        <d v="2022-12-01T00:00:00"/>
        <d v="2023-01-01T00:00:00"/>
        <d v="2023-02-01T00:00:00"/>
        <d v="2023-03-01T00:00:00"/>
        <d v="2023-05-01T00:00:00"/>
        <d v="2023-06-01T00:00:00"/>
        <d v="2023-09-01T00:00:00"/>
        <d v="2023-04-01T00:00:00"/>
        <d v="2023-07-01T00:00:00"/>
        <d v="2023-08-01T00:00:00"/>
        <d v="2023-10-01T00:00:00"/>
        <d v="2024-06-01T00:00:00"/>
        <d v="2023-11-01T00:00:00"/>
        <d v="2023-12-01T00:00:00"/>
        <d v="2024-08-01T00:00:00"/>
        <d v="2024-05-01T00:00:00"/>
        <d v="2024-01-01T00:00:00"/>
        <d v="2024-04-01T00:00:00"/>
        <d v="2024-02-01T00:00:00"/>
        <d v="2024-09-01T00:00:00"/>
        <d v="2024-03-01T00:00:00"/>
        <d v="2024-07-01T00:00:00"/>
        <d v="2024-10-01T00:00:00"/>
        <d v="2024-11-01T00:00:00"/>
        <d v="2024-12-01T00:00:00"/>
        <d v="2025-01-01T00:00:00"/>
        <d v="1899-12-31T00:00:00" u="1"/>
      </sharedItems>
    </cacheField>
    <cacheField name="Sistema" numFmtId="0">
      <sharedItems containsBlank="1"/>
    </cacheField>
  </cacheFields>
  <extLst>
    <ext xmlns:x14="http://schemas.microsoft.com/office/spreadsheetml/2009/9/main" uri="{725AE2AE-9491-48be-B2B4-4EB974FC3084}">
      <x14:pivotCacheDefinition pivotCacheId="2011551902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laniz Andrea Arce Castillo" refreshedDate="45495.580683564818" backgroundQuery="1" createdVersion="8" refreshedVersion="8" minRefreshableVersion="3" recordCount="0" supportSubquery="1" supportAdvancedDrill="1" xr:uid="{944C740D-D0E1-4156-907C-63F4FD68033A}">
  <cacheSource type="external" connectionId="1"/>
  <cacheFields count="4">
    <cacheField name="[Tabla1].[Año Proy].[Año Proy]" caption="Año Proy" numFmtId="0" hierarchy="27" level="1">
      <sharedItems containsSemiMixedTypes="0" containsString="0" containsNumber="1" containsInteger="1" minValue="2023" maxValue="2024" count="2"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Tabla1].[Año Proy].&amp;[2023]"/>
            <x15:cachedUniqueName index="1" name="[Tabla1].[Año Proy].&amp;[2024]"/>
          </x15:cachedUniqueNames>
        </ext>
      </extLst>
    </cacheField>
    <cacheField name="[Tabla1].[Fecha aprobación (mes)].[Fecha aprobación (mes)]" caption="Fecha aprobación (mes)" numFmtId="0" hierarchy="30" level="1">
      <sharedItems count="11">
        <s v="Ene"/>
        <s v="Feb"/>
        <s v="Mar"/>
        <s v="Abr"/>
        <s v="May"/>
        <s v="Jun"/>
        <s v="Jul"/>
        <s v="Ago"/>
        <s v="Oct"/>
        <s v="Nov"/>
        <s v="Dic"/>
      </sharedItems>
    </cacheField>
    <cacheField name="[Measures].[Suma de Aprobado S/.]" caption="Suma de Aprobado S/." numFmtId="0" hierarchy="79" level="32767"/>
    <cacheField name="[Tabla1].[Estado presupuesto].[Estado presupuesto]" caption="Estado presupuesto" numFmtId="0" hierarchy="24" level="1">
      <sharedItems containsSemiMixedTypes="0" containsNonDate="0" containsString="0"/>
    </cacheField>
  </cacheFields>
  <cacheHierarchies count="87">
    <cacheHierarchy uniqueName="[Tabla1].[Llave]" caption="Llave" attribute="1" defaultMemberUniqueName="[Tabla1].[Llave].[All]" allUniqueName="[Tabla1].[Llave].[All]" dimensionUniqueName="[Tabla1]" displayFolder="" count="0" memberValueDatatype="130" unbalanced="0"/>
    <cacheHierarchy uniqueName="[Tabla1].[ID]" caption="ID" attribute="1" defaultMemberUniqueName="[Tabla1].[ID].[All]" allUniqueName="[Tabla1].[ID].[All]" dimensionUniqueName="[Tabla1]" displayFolder="" count="0" memberValueDatatype="130" unbalanced="0"/>
    <cacheHierarchy uniqueName="[Tabla1].[Proyecto]" caption="Proyecto" attribute="1" defaultMemberUniqueName="[Tabla1].[Proyecto].[All]" allUniqueName="[Tabla1].[Proyecto].[All]" dimensionUniqueName="[Tabla1]" displayFolder="" count="0" memberValueDatatype="130" unbalanced="0"/>
    <cacheHierarchy uniqueName="[Tabla1].[Alcance]" caption="Alcance" attribute="1" defaultMemberUniqueName="[Tabla1].[Alcance].[All]" allUniqueName="[Tabla1].[Alcance].[All]" dimensionUniqueName="[Tabla1]" displayFolder="" count="0" memberValueDatatype="130" unbalanced="0"/>
    <cacheHierarchy uniqueName="[Tabla1].[Área]" caption="Área" attribute="1" defaultMemberUniqueName="[Tabla1].[Área].[All]" allUniqueName="[Tabla1].[Área].[All]" dimensionUniqueName="[Tabla1]" displayFolder="" count="0" memberValueDatatype="130" unbalanced="0"/>
    <cacheHierarchy uniqueName="[Tabla1].[Sub-Área]" caption="Sub-Área" attribute="1" defaultMemberUniqueName="[Tabla1].[Sub-Área].[All]" allUniqueName="[Tabla1].[Sub-Área].[All]" dimensionUniqueName="[Tabla1]" displayFolder="" count="0" memberValueDatatype="130" unbalanced="0"/>
    <cacheHierarchy uniqueName="[Tabla1].[Involucradas]" caption="Involucradas" attribute="1" defaultMemberUniqueName="[Tabla1].[Involucradas].[All]" allUniqueName="[Tabla1].[Involucradas].[All]" dimensionUniqueName="[Tabla1]" displayFolder="" count="0" memberValueDatatype="130" unbalanced="0"/>
    <cacheHierarchy uniqueName="[Tabla1].[Tamaño]" caption="Tamaño" attribute="1" defaultMemberUniqueName="[Tabla1].[Tamaño].[All]" allUniqueName="[Tabla1].[Tamaño].[All]" dimensionUniqueName="[Tabla1]" displayFolder="" count="0" memberValueDatatype="130" unbalanced="0"/>
    <cacheHierarchy uniqueName="[Tabla1].[Puntaje]" caption="Puntaje" attribute="1" defaultMemberUniqueName="[Tabla1].[Puntaje].[All]" allUniqueName="[Tabla1].[Puntaje].[All]" dimensionUniqueName="[Tabla1]" displayFolder="" count="0" memberValueDatatype="20" unbalanced="0"/>
    <cacheHierarchy uniqueName="[Tabla1].[Esfuerzo]" caption="Esfuerzo" attribute="1" defaultMemberUniqueName="[Tabla1].[Esfuerzo].[All]" allUniqueName="[Tabla1].[Esfuerzo].[All]" dimensionUniqueName="[Tabla1]" displayFolder="" count="0" memberValueDatatype="20" unbalanced="0"/>
    <cacheHierarchy uniqueName="[Tabla1].[Líder]" caption="Líder" attribute="1" defaultMemberUniqueName="[Tabla1].[Líder].[All]" allUniqueName="[Tabla1].[Líder].[All]" dimensionUniqueName="[Tabla1]" displayFolder="" count="0" memberValueDatatype="130" unbalanced="0"/>
    <cacheHierarchy uniqueName="[Tabla1].[P.Manager]" caption="P.Manager" attribute="1" defaultMemberUniqueName="[Tabla1].[P.Manager].[All]" allUniqueName="[Tabla1].[P.Manager].[All]" dimensionUniqueName="[Tabla1]" displayFolder="" count="0" memberValueDatatype="130" unbalanced="0"/>
    <cacheHierarchy uniqueName="[Tabla1].[Estado proyecto]" caption="Estado proyecto" attribute="1" defaultMemberUniqueName="[Tabla1].[Estado proyecto].[All]" allUniqueName="[Tabla1].[Estado proyecto].[All]" dimensionUniqueName="[Tabla1]" displayFolder="" count="0" memberValueDatatype="130" unbalanced="0"/>
    <cacheHierarchy uniqueName="[Tabla1].[Proveedor principal]" caption="Proveedor principal" attribute="1" defaultMemberUniqueName="[Tabla1].[Proveedor principal].[All]" allUniqueName="[Tabla1].[Proveedor principal].[All]" dimensionUniqueName="[Tabla1]" displayFolder="" count="0" memberValueDatatype="130" unbalanced="0"/>
    <cacheHierarchy uniqueName="[Tabla1].[SG5]" caption="SG5" attribute="1" defaultMemberUniqueName="[Tabla1].[SG5].[All]" allUniqueName="[Tabla1].[SG5].[All]" dimensionUniqueName="[Tabla1]" displayFolder="" count="0" memberValueDatatype="130" unbalanced="0"/>
    <cacheHierarchy uniqueName="[Tabla1].[CRM]" caption="CRM" attribute="1" defaultMemberUniqueName="[Tabla1].[CRM].[All]" allUniqueName="[Tabla1].[CRM].[All]" dimensionUniqueName="[Tabla1]" displayFolder="" count="0" memberValueDatatype="130" unbalanced="0"/>
    <cacheHierarchy uniqueName="[Tabla1].[Exactus]" caption="Exactus" attribute="1" defaultMemberUniqueName="[Tabla1].[Exactus].[All]" allUniqueName="[Tabla1].[Exactus].[All]" dimensionUniqueName="[Tabla1]" displayFolder="" count="0" memberValueDatatype="130" unbalanced="0"/>
    <cacheHierarchy uniqueName="[Tabla1].[Web]" caption="Web" attribute="1" defaultMemberUniqueName="[Tabla1].[Web].[All]" allUniqueName="[Tabla1].[Web].[All]" dimensionUniqueName="[Tabla1]" displayFolder="" count="0" memberValueDatatype="130" unbalanced="0"/>
    <cacheHierarchy uniqueName="[Tabla1].[Otros]" caption="Otros" attribute="1" defaultMemberUniqueName="[Tabla1].[Otros].[All]" allUniqueName="[Tabla1].[Otros].[All]" dimensionUniqueName="[Tabla1]" displayFolder="" count="0" memberValueDatatype="130" unbalanced="0"/>
    <cacheHierarchy uniqueName="[Tabla1].[Presupuesto S/.]" caption="Presupuesto S/." attribute="1" defaultMemberUniqueName="[Tabla1].[Presupuesto S/.].[All]" allUniqueName="[Tabla1].[Presupuesto S/.].[All]" dimensionUniqueName="[Tabla1]" displayFolder="" count="0" memberValueDatatype="20" unbalanced="0"/>
    <cacheHierarchy uniqueName="[Tabla1].[Aprobado S/.]" caption="Aprobado S/." attribute="1" defaultMemberUniqueName="[Tabla1].[Aprobado S/.].[All]" allUniqueName="[Tabla1].[Aprobado S/.].[All]" dimensionUniqueName="[Tabla1]" displayFolder="" count="0" memberValueDatatype="20" unbalanced="0"/>
    <cacheHierarchy uniqueName="[Tabla1].[% Aprob]" caption="% Aprob" attribute="1" defaultMemberUniqueName="[Tabla1].[% Aprob].[All]" allUniqueName="[Tabla1].[% Aprob].[All]" dimensionUniqueName="[Tabla1]" displayFolder="" count="0" memberValueDatatype="5" unbalanced="0"/>
    <cacheHierarchy uniqueName="[Tabla1].[Ejecutado S/.]" caption="Ejecutado S/." attribute="1" defaultMemberUniqueName="[Tabla1].[Ejecutado S/.].[All]" allUniqueName="[Tabla1].[Ejecutado S/.].[All]" dimensionUniqueName="[Tabla1]" displayFolder="" count="0" memberValueDatatype="20" unbalanced="0"/>
    <cacheHierarchy uniqueName="[Tabla1].[% Ejec]" caption="% Ejec" attribute="1" defaultMemberUniqueName="[Tabla1].[% Ejec].[All]" allUniqueName="[Tabla1].[% Ejec].[All]" dimensionUniqueName="[Tabla1]" displayFolder="" count="0" memberValueDatatype="5" unbalanced="0"/>
    <cacheHierarchy uniqueName="[Tabla1].[Estado presupuesto]" caption="Estado presupuesto" attribute="1" defaultMemberUniqueName="[Tabla1].[Estado presupuesto].[All]" allUniqueName="[Tabla1].[Estado presupuesto].[All]" dimensionUniqueName="[Tabla1]" displayFolder="" count="2" memberValueDatatype="130" unbalanced="0">
      <fieldsUsage count="2">
        <fieldUsage x="-1"/>
        <fieldUsage x="3"/>
      </fieldsUsage>
    </cacheHierarchy>
    <cacheHierarchy uniqueName="[Tabla1].[Fecha aprobación]" caption="Fecha aprobación" attribute="1" time="1" defaultMemberUniqueName="[Tabla1].[Fecha aprobación].[All]" allUniqueName="[Tabla1].[Fecha aprobación].[All]" dimensionUniqueName="[Tabla1]" displayFolder="" count="0" memberValueDatatype="7" unbalanced="0"/>
    <cacheHierarchy uniqueName="[Tabla1].[mm.aa fch aprob]" caption="mm.aa fch aprob" attribute="1" time="1" defaultMemberUniqueName="[Tabla1].[mm.aa fch aprob].[All]" allUniqueName="[Tabla1].[mm.aa fch aprob].[All]" dimensionUniqueName="[Tabla1]" displayFolder="" count="0" memberValueDatatype="7" unbalanced="0"/>
    <cacheHierarchy uniqueName="[Tabla1].[Año Proy]" caption="Año Proy" attribute="1" defaultMemberUniqueName="[Tabla1].[Año Proy].[All]" allUniqueName="[Tabla1].[Año Proy].[All]" dimensionUniqueName="[Tabla1]" displayFolder="" count="2" memberValueDatatype="20" unbalanced="0">
      <fieldsUsage count="2">
        <fieldUsage x="-1"/>
        <fieldUsage x="0"/>
      </fieldsUsage>
    </cacheHierarchy>
    <cacheHierarchy uniqueName="[Tabla1].[Línea de negocio]" caption="Línea de negocio" attribute="1" defaultMemberUniqueName="[Tabla1].[Línea de negocio].[All]" allUniqueName="[Tabla1].[Línea de negocio].[All]" dimensionUniqueName="[Tabla1]" displayFolder="" count="0" memberValueDatatype="130" unbalanced="0"/>
    <cacheHierarchy uniqueName="[Tabla1].[País]" caption="País" attribute="1" defaultMemberUniqueName="[Tabla1].[País].[All]" allUniqueName="[Tabla1].[País].[All]" dimensionUniqueName="[Tabla1]" displayFolder="" count="0" memberValueDatatype="130" unbalanced="0"/>
    <cacheHierarchy uniqueName="[Tabla1].[Fecha aprobación (mes)]" caption="Fecha aprobación (mes)" attribute="1" defaultMemberUniqueName="[Tabla1].[Fecha aprobación (mes)].[All]" allUniqueName="[Tabla1].[Fecha aprobación (mes)].[All]" dimensionUniqueName="[Tabla1]" displayFolder="" count="2" memberValueDatatype="130" unbalanced="0">
      <fieldsUsage count="2">
        <fieldUsage x="-1"/>
        <fieldUsage x="1"/>
      </fieldsUsage>
    </cacheHierarchy>
    <cacheHierarchy uniqueName="[Tabla2].[Llave]" caption="Llave" attribute="1" defaultMemberUniqueName="[Tabla2].[Llave].[All]" allUniqueName="[Tabla2].[Llave].[All]" dimensionUniqueName="[Tabla2]" displayFolder="" count="0" memberValueDatatype="130" unbalanced="0"/>
    <cacheHierarchy uniqueName="[Tabla2].[ID]" caption="ID" attribute="1" defaultMemberUniqueName="[Tabla2].[ID].[All]" allUniqueName="[Tabla2].[ID].[All]" dimensionUniqueName="[Tabla2]" displayFolder="" count="0" memberValueDatatype="130" unbalanced="0"/>
    <cacheHierarchy uniqueName="[Tabla2].[Año Proy]" caption="Año Proy" attribute="1" defaultMemberUniqueName="[Tabla2].[Año Proy].[All]" allUniqueName="[Tabla2].[Año Proy].[All]" dimensionUniqueName="[Tabla2]" displayFolder="" count="0" memberValueDatatype="20" unbalanced="0"/>
    <cacheHierarchy uniqueName="[Tabla2].[Fecha]" caption="Fecha" attribute="1" time="1" defaultMemberUniqueName="[Tabla2].[Fecha].[All]" allUniqueName="[Tabla2].[Fecha].[All]" dimensionUniqueName="[Tabla2]" displayFolder="" count="0" memberValueDatatype="7" unbalanced="0"/>
    <cacheHierarchy uniqueName="[Tabla2].[Proveedor]" caption="Proveedor" attribute="1" defaultMemberUniqueName="[Tabla2].[Proveedor].[All]" allUniqueName="[Tabla2].[Proveedor].[All]" dimensionUniqueName="[Tabla2]" displayFolder="" count="0" memberValueDatatype="130" unbalanced="0"/>
    <cacheHierarchy uniqueName="[Tabla2].[Código]" caption="Código" attribute="1" defaultMemberUniqueName="[Tabla2].[Código].[All]" allUniqueName="[Tabla2].[Código].[All]" dimensionUniqueName="[Tabla2]" displayFolder="" count="0" memberValueDatatype="130" unbalanced="0"/>
    <cacheHierarchy uniqueName="[Tabla2].[Factura]" caption="Factura" attribute="1" defaultMemberUniqueName="[Tabla2].[Factura].[All]" allUniqueName="[Tabla2].[Factura].[All]" dimensionUniqueName="[Tabla2]" displayFolder="" count="0" memberValueDatatype="130" unbalanced="0"/>
    <cacheHierarchy uniqueName="[Tabla2].[Mes aprob]" caption="Mes aprob" attribute="1" time="1" defaultMemberUniqueName="[Tabla2].[Mes aprob].[All]" allUniqueName="[Tabla2].[Mes aprob].[All]" dimensionUniqueName="[Tabla2]" displayFolder="" count="0" memberValueDatatype="7" unbalanced="0"/>
    <cacheHierarchy uniqueName="[Tabla2].[OS]" caption="OS" attribute="1" defaultMemberUniqueName="[Tabla2].[OS].[All]" allUniqueName="[Tabla2].[OS].[All]" dimensionUniqueName="[Tabla2]" displayFolder="" count="0" memberValueDatatype="130" unbalanced="0"/>
    <cacheHierarchy uniqueName="[Tabla2].[Proyecto]" caption="Proyecto" attribute="1" defaultMemberUniqueName="[Tabla2].[Proyecto].[All]" allUniqueName="[Tabla2].[Proyecto].[All]" dimensionUniqueName="[Tabla2]" displayFolder="" count="0" memberValueDatatype="130" unbalanced="0"/>
    <cacheHierarchy uniqueName="[Tabla2].[# Cuota]" caption="# Cuota" attribute="1" defaultMemberUniqueName="[Tabla2].[# Cuota].[All]" allUniqueName="[Tabla2].[# Cuota].[All]" dimensionUniqueName="[Tabla2]" displayFolder="" count="0" memberValueDatatype="20" unbalanced="0"/>
    <cacheHierarchy uniqueName="[Tabla2].[Detalle cuota]" caption="Detalle cuota" attribute="1" defaultMemberUniqueName="[Tabla2].[Detalle cuota].[All]" allUniqueName="[Tabla2].[Detalle cuota].[All]" dimensionUniqueName="[Tabla2]" displayFolder="" count="0" memberValueDatatype="130" unbalanced="0"/>
    <cacheHierarchy uniqueName="[Tabla2].[Cuota]" caption="Cuota" attribute="1" defaultMemberUniqueName="[Tabla2].[Cuota].[All]" allUniqueName="[Tabla2].[Cuota].[All]" dimensionUniqueName="[Tabla2]" displayFolder="" count="0" memberValueDatatype="5" unbalanced="0"/>
    <cacheHierarchy uniqueName="[Tabla2].[Total cuotas]" caption="Total cuotas" attribute="1" defaultMemberUniqueName="[Tabla2].[Total cuotas].[All]" allUniqueName="[Tabla2].[Total cuotas].[All]" dimensionUniqueName="[Tabla2]" displayFolder="" count="0" memberValueDatatype="20" unbalanced="0"/>
    <cacheHierarchy uniqueName="[Tabla2].[Moneda]" caption="Moneda" attribute="1" defaultMemberUniqueName="[Tabla2].[Moneda].[All]" allUniqueName="[Tabla2].[Moneda].[All]" dimensionUniqueName="[Tabla2]" displayFolder="" count="0" memberValueDatatype="130" unbalanced="0"/>
    <cacheHierarchy uniqueName="[Tabla2].[Cuota S/.]" caption="Cuota S/." attribute="1" defaultMemberUniqueName="[Tabla2].[Cuota S/.].[All]" allUniqueName="[Tabla2].[Cuota S/.].[All]" dimensionUniqueName="[Tabla2]" displayFolder="" count="0" memberValueDatatype="5" unbalanced="0"/>
    <cacheHierarchy uniqueName="[Tabla2].[Cuenta]" caption="Cuenta" attribute="1" defaultMemberUniqueName="[Tabla2].[Cuenta].[All]" allUniqueName="[Tabla2].[Cuenta].[All]" dimensionUniqueName="[Tabla2]" displayFolder="" count="0" memberValueDatatype="130" unbalanced="0"/>
    <cacheHierarchy uniqueName="[Tabla2].[País]" caption="País" attribute="1" defaultMemberUniqueName="[Tabla2].[País].[All]" allUniqueName="[Tabla2].[País].[All]" dimensionUniqueName="[Tabla2]" displayFolder="" count="0" memberValueDatatype="130" unbalanced="0"/>
    <cacheHierarchy uniqueName="[Tabla2].[Área]" caption="Área" attribute="1" defaultMemberUniqueName="[Tabla2].[Área].[All]" allUniqueName="[Tabla2].[Área].[All]" dimensionUniqueName="[Tabla2]" displayFolder="" count="0" memberValueDatatype="130" unbalanced="0"/>
    <cacheHierarchy uniqueName="[Tabla2].[Estado]" caption="Estado" attribute="1" defaultMemberUniqueName="[Tabla2].[Estado].[All]" allUniqueName="[Tabla2].[Estado].[All]" dimensionUniqueName="[Tabla2]" displayFolder="" count="0" memberValueDatatype="130" unbalanced="0"/>
    <cacheHierarchy uniqueName="[Tabla2].[F Venc]" caption="F Venc" attribute="1" defaultMemberUniqueName="[Tabla2].[F Venc].[All]" allUniqueName="[Tabla2].[F Venc].[All]" dimensionUniqueName="[Tabla2]" displayFolder="" count="0" memberValueDatatype="130" unbalanced="0"/>
    <cacheHierarchy uniqueName="[Tabla2].[Fecha pago]" caption="Fecha pago" attribute="1" defaultMemberUniqueName="[Tabla2].[Fecha pago].[All]" allUniqueName="[Tabla2].[Fecha pago].[All]" dimensionUniqueName="[Tabla2]" displayFolder="" count="0" memberValueDatatype="130" unbalanced="0"/>
    <cacheHierarchy uniqueName="[Tabla2].[mm.aa]" caption="mm.aa" attribute="1" time="1" defaultMemberUniqueName="[Tabla2].[mm.aa].[All]" allUniqueName="[Tabla2].[mm.aa].[All]" dimensionUniqueName="[Tabla2]" displayFolder="" count="0" memberValueDatatype="7" unbalanced="0"/>
    <cacheHierarchy uniqueName="[Tabla2].[Sistema]" caption="Sistema" attribute="1" defaultMemberUniqueName="[Tabla2].[Sistema].[All]" allUniqueName="[Tabla2].[Sistema].[All]" dimensionUniqueName="[Tabla2]" displayFolder="" count="0" memberValueDatatype="130" unbalanced="0"/>
    <cacheHierarchy uniqueName="[Tabla2].[Fecha (año)]" caption="Fecha (año)" attribute="1" defaultMemberUniqueName="[Tabla2].[Fecha (año)].[All]" allUniqueName="[Tabla2].[Fecha (año)].[All]" dimensionUniqueName="[Tabla2]" displayFolder="" count="0" memberValueDatatype="130" unbalanced="0"/>
    <cacheHierarchy uniqueName="[Tabla2].[Fecha (trimestre)]" caption="Fecha (trimestre)" attribute="1" defaultMemberUniqueName="[Tabla2].[Fecha (trimestre)].[All]" allUniqueName="[Tabla2].[Fecha (trimestre)].[All]" dimensionUniqueName="[Tabla2]" displayFolder="" count="0" memberValueDatatype="130" unbalanced="0"/>
    <cacheHierarchy uniqueName="[Tabla2].[Fecha (mes)]" caption="Fecha (mes)" attribute="1" defaultMemberUniqueName="[Tabla2].[Fecha (mes)].[All]" allUniqueName="[Tabla2].[Fecha (mes)].[All]" dimensionUniqueName="[Tabla2]" displayFolder="" count="0" memberValueDatatype="130" unbalanced="0"/>
    <cacheHierarchy uniqueName="[Tabla2].[mm.aa (año)]" caption="mm.aa (año)" attribute="1" defaultMemberUniqueName="[Tabla2].[mm.aa (año)].[All]" allUniqueName="[Tabla2].[mm.aa (año)].[All]" dimensionUniqueName="[Tabla2]" displayFolder="" count="0" memberValueDatatype="130" unbalanced="0"/>
    <cacheHierarchy uniqueName="[Tabla2].[mm.aa (trimestre)]" caption="mm.aa (trimestre)" attribute="1" defaultMemberUniqueName="[Tabla2].[mm.aa (trimestre)].[All]" allUniqueName="[Tabla2].[mm.aa (trimestre)].[All]" dimensionUniqueName="[Tabla2]" displayFolder="" count="0" memberValueDatatype="130" unbalanced="0"/>
    <cacheHierarchy uniqueName="[Tabla2].[mm.aa (mes)]" caption="mm.aa (mes)" attribute="1" defaultMemberUniqueName="[Tabla2].[mm.aa (mes)].[All]" allUniqueName="[Tabla2].[mm.aa (mes)].[All]" dimensionUniqueName="[Tabla2]" displayFolder="" count="0" memberValueDatatype="130" unbalanced="0"/>
    <cacheHierarchy uniqueName="[Tabla2].[Mes aprob (año)]" caption="Mes aprob (año)" attribute="1" defaultMemberUniqueName="[Tabla2].[Mes aprob (año)].[All]" allUniqueName="[Tabla2].[Mes aprob (año)].[All]" dimensionUniqueName="[Tabla2]" displayFolder="" count="0" memberValueDatatype="130" unbalanced="0"/>
    <cacheHierarchy uniqueName="[Tabla2].[Mes aprob (trimestre)]" caption="Mes aprob (trimestre)" attribute="1" defaultMemberUniqueName="[Tabla2].[Mes aprob (trimestre)].[All]" allUniqueName="[Tabla2].[Mes aprob (trimestre)].[All]" dimensionUniqueName="[Tabla2]" displayFolder="" count="0" memberValueDatatype="130" unbalanced="0"/>
    <cacheHierarchy uniqueName="[Tabla2].[Mes aprob (mes)]" caption="Mes aprob (mes)" attribute="1" defaultMemberUniqueName="[Tabla2].[Mes aprob (mes)].[All]" allUniqueName="[Tabla2].[Mes aprob (mes)].[All]" dimensionUniqueName="[Tabla2]" displayFolder="" count="0" memberValueDatatype="130" unbalanced="0"/>
    <cacheHierarchy uniqueName="[Tabla1].[Fecha aprobación (índice de meses)]" caption="Fecha aprobación (índice de meses)" attribute="1" defaultMemberUniqueName="[Tabla1].[Fecha aprobación (índice de meses)].[All]" allUniqueName="[Tabla1].[Fecha aprobación (índice de meses)].[All]" dimensionUniqueName="[Tabla1]" displayFolder="" count="0" memberValueDatatype="20" unbalanced="0" hidden="1"/>
    <cacheHierarchy uniqueName="[Tabla2].[Fecha (índice de meses)]" caption="Fecha (índice de meses)" attribute="1" defaultMemberUniqueName="[Tabla2].[Fecha (índice de meses)].[All]" allUniqueName="[Tabla2].[Fecha (índice de meses)].[All]" dimensionUniqueName="[Tabla2]" displayFolder="" count="0" memberValueDatatype="20" unbalanced="0" hidden="1"/>
    <cacheHierarchy uniqueName="[Tabla2].[Mes aprob (índice de meses)]" caption="Mes aprob (índice de meses)" attribute="1" defaultMemberUniqueName="[Tabla2].[Mes aprob (índice de meses)].[All]" allUniqueName="[Tabla2].[Mes aprob (índice de meses)].[All]" dimensionUniqueName="[Tabla2]" displayFolder="" count="0" memberValueDatatype="20" unbalanced="0" hidden="1"/>
    <cacheHierarchy uniqueName="[Tabla2].[mm.aa (índice de meses)]" caption="mm.aa (índice de meses)" attribute="1" defaultMemberUniqueName="[Tabla2].[mm.aa (índice de meses)].[All]" allUniqueName="[Tabla2].[mm.aa (índice de meses)].[All]" dimensionUniqueName="[Tabla2]" displayFolder="" count="0" memberValueDatatype="20" unbalanced="0" hidden="1"/>
    <cacheHierarchy uniqueName="[Measures].[__XL_Count Tabla2]" caption="__XL_Count Tabla2" measure="1" displayFolder="" measureGroup="Tabla2" count="0" hidden="1"/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  <cacheHierarchy uniqueName="[Measures].[Suma de Año Proy]" caption="Suma de Año Proy" measure="1" displayFolder="" measureGroup="Tabla2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Recuento de Proyecto]" caption="Recuento de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e SG5]" caption="Recuento de SG5" measure="1" displayFolder="" measureGroup="Tabla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Recuento de CRM]" caption="Recuento de CRM" measure="1" displayFolder="" measureGroup="Tabla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Exactus]" caption="Recuento de Exactus" measure="1" displayFolder="" measureGroup="Tabla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Recuento de Web]" caption="Recuento de Web" measure="1" displayFolder="" measureGroup="Tabla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Recuento de Estado proyecto]" caption="Recuento de Estado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Ejecutado S/.]" caption="Suma de Ejecutado S/." measure="1" displayFolder="" measureGroup="Tabla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Aprobado S/.]" caption="Suma de Aprobado S/." measure="1" displayFolder="" measureGroup="Tabla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Fecha aprobación]" caption="Recuento de Fecha aprobación" measure="1" displayFolder="" measureGroup="Tabla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a de Presupuesto S/.]" caption="Suma de Presupuesto S/." measure="1" displayFolder="" measureGroup="Tabla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Cuota]" caption="Suma de Cuota" measure="1" displayFolder="" measureGroup="Tabla2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de Año Proy 2]" caption="Suma de Año Proy 2" measure="1" displayFolder="" measureGroup="Tabla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de % Aprob]" caption="Suma de % Aprob" measure="1" displayFolder="" measureGroup="Tabla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% Ejec]" caption="Suma de % Ejec" measure="1" displayFolder="" measureGroup="Tabla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de Cuota S/.]" caption="Suma de Cuota S/." measure="1" displayFolder="" measureGroup="Tabla2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</cacheHierarchies>
  <kpis count="0"/>
  <dimensions count="3">
    <dimension measure="1" name="Measures" uniqueName="[Measures]" caption="Measures"/>
    <dimension name="Tabla1" uniqueName="[Tabla1]" caption="Tabla1"/>
    <dimension name="Tabla2" uniqueName="[Tabla2]" caption="Tabla2"/>
  </dimensions>
  <measureGroups count="2">
    <measureGroup name="Tabla1" caption="Tabla1"/>
    <measureGroup name="Tabla2" caption="Tabla2"/>
  </measureGroups>
  <maps count="3">
    <map measureGroup="0" dimension="1"/>
    <map measureGroup="1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laniz Andrea Arce Castillo" refreshedDate="45495.580683680557" backgroundQuery="1" createdVersion="8" refreshedVersion="8" minRefreshableVersion="3" recordCount="0" supportSubquery="1" supportAdvancedDrill="1" xr:uid="{919E46F7-7559-4087-823E-583EE9E704A8}">
  <cacheSource type="external" connectionId="1"/>
  <cacheFields count="2">
    <cacheField name="[Measures].[Suma de Presupuesto S/.]" caption="Suma de Presupuesto S/." numFmtId="0" hierarchy="81" level="32767"/>
    <cacheField name="[Tabla1].[Año Proy].[Año Proy]" caption="Año Proy" numFmtId="0" hierarchy="27" level="1">
      <sharedItems containsSemiMixedTypes="0" containsNonDate="0" containsString="0"/>
    </cacheField>
  </cacheFields>
  <cacheHierarchies count="87">
    <cacheHierarchy uniqueName="[Tabla1].[Llave]" caption="Llave" attribute="1" defaultMemberUniqueName="[Tabla1].[Llave].[All]" allUniqueName="[Tabla1].[Llave].[All]" dimensionUniqueName="[Tabla1]" displayFolder="" count="0" memberValueDatatype="130" unbalanced="0"/>
    <cacheHierarchy uniqueName="[Tabla1].[ID]" caption="ID" attribute="1" defaultMemberUniqueName="[Tabla1].[ID].[All]" allUniqueName="[Tabla1].[ID].[All]" dimensionUniqueName="[Tabla1]" displayFolder="" count="0" memberValueDatatype="130" unbalanced="0"/>
    <cacheHierarchy uniqueName="[Tabla1].[Proyecto]" caption="Proyecto" attribute="1" defaultMemberUniqueName="[Tabla1].[Proyecto].[All]" allUniqueName="[Tabla1].[Proyecto].[All]" dimensionUniqueName="[Tabla1]" displayFolder="" count="0" memberValueDatatype="130" unbalanced="0"/>
    <cacheHierarchy uniqueName="[Tabla1].[Alcance]" caption="Alcance" attribute="1" defaultMemberUniqueName="[Tabla1].[Alcance].[All]" allUniqueName="[Tabla1].[Alcance].[All]" dimensionUniqueName="[Tabla1]" displayFolder="" count="0" memberValueDatatype="130" unbalanced="0"/>
    <cacheHierarchy uniqueName="[Tabla1].[Área]" caption="Área" attribute="1" defaultMemberUniqueName="[Tabla1].[Área].[All]" allUniqueName="[Tabla1].[Área].[All]" dimensionUniqueName="[Tabla1]" displayFolder="" count="0" memberValueDatatype="130" unbalanced="0"/>
    <cacheHierarchy uniqueName="[Tabla1].[Sub-Área]" caption="Sub-Área" attribute="1" defaultMemberUniqueName="[Tabla1].[Sub-Área].[All]" allUniqueName="[Tabla1].[Sub-Área].[All]" dimensionUniqueName="[Tabla1]" displayFolder="" count="0" memberValueDatatype="130" unbalanced="0"/>
    <cacheHierarchy uniqueName="[Tabla1].[Involucradas]" caption="Involucradas" attribute="1" defaultMemberUniqueName="[Tabla1].[Involucradas].[All]" allUniqueName="[Tabla1].[Involucradas].[All]" dimensionUniqueName="[Tabla1]" displayFolder="" count="0" memberValueDatatype="130" unbalanced="0"/>
    <cacheHierarchy uniqueName="[Tabla1].[Tamaño]" caption="Tamaño" attribute="1" defaultMemberUniqueName="[Tabla1].[Tamaño].[All]" allUniqueName="[Tabla1].[Tamaño].[All]" dimensionUniqueName="[Tabla1]" displayFolder="" count="0" memberValueDatatype="130" unbalanced="0"/>
    <cacheHierarchy uniqueName="[Tabla1].[Puntaje]" caption="Puntaje" attribute="1" defaultMemberUniqueName="[Tabla1].[Puntaje].[All]" allUniqueName="[Tabla1].[Puntaje].[All]" dimensionUniqueName="[Tabla1]" displayFolder="" count="0" memberValueDatatype="20" unbalanced="0"/>
    <cacheHierarchy uniqueName="[Tabla1].[Esfuerzo]" caption="Esfuerzo" attribute="1" defaultMemberUniqueName="[Tabla1].[Esfuerzo].[All]" allUniqueName="[Tabla1].[Esfuerzo].[All]" dimensionUniqueName="[Tabla1]" displayFolder="" count="0" memberValueDatatype="20" unbalanced="0"/>
    <cacheHierarchy uniqueName="[Tabla1].[Líder]" caption="Líder" attribute="1" defaultMemberUniqueName="[Tabla1].[Líder].[All]" allUniqueName="[Tabla1].[Líder].[All]" dimensionUniqueName="[Tabla1]" displayFolder="" count="0" memberValueDatatype="130" unbalanced="0"/>
    <cacheHierarchy uniqueName="[Tabla1].[P.Manager]" caption="P.Manager" attribute="1" defaultMemberUniqueName="[Tabla1].[P.Manager].[All]" allUniqueName="[Tabla1].[P.Manager].[All]" dimensionUniqueName="[Tabla1]" displayFolder="" count="0" memberValueDatatype="130" unbalanced="0"/>
    <cacheHierarchy uniqueName="[Tabla1].[Estado proyecto]" caption="Estado proyecto" attribute="1" defaultMemberUniqueName="[Tabla1].[Estado proyecto].[All]" allUniqueName="[Tabla1].[Estado proyecto].[All]" dimensionUniqueName="[Tabla1]" displayFolder="" count="0" memberValueDatatype="130" unbalanced="0"/>
    <cacheHierarchy uniqueName="[Tabla1].[Proveedor principal]" caption="Proveedor principal" attribute="1" defaultMemberUniqueName="[Tabla1].[Proveedor principal].[All]" allUniqueName="[Tabla1].[Proveedor principal].[All]" dimensionUniqueName="[Tabla1]" displayFolder="" count="0" memberValueDatatype="130" unbalanced="0"/>
    <cacheHierarchy uniqueName="[Tabla1].[SG5]" caption="SG5" attribute="1" defaultMemberUniqueName="[Tabla1].[SG5].[All]" allUniqueName="[Tabla1].[SG5].[All]" dimensionUniqueName="[Tabla1]" displayFolder="" count="0" memberValueDatatype="130" unbalanced="0"/>
    <cacheHierarchy uniqueName="[Tabla1].[CRM]" caption="CRM" attribute="1" defaultMemberUniqueName="[Tabla1].[CRM].[All]" allUniqueName="[Tabla1].[CRM].[All]" dimensionUniqueName="[Tabla1]" displayFolder="" count="0" memberValueDatatype="130" unbalanced="0"/>
    <cacheHierarchy uniqueName="[Tabla1].[Exactus]" caption="Exactus" attribute="1" defaultMemberUniqueName="[Tabla1].[Exactus].[All]" allUniqueName="[Tabla1].[Exactus].[All]" dimensionUniqueName="[Tabla1]" displayFolder="" count="0" memberValueDatatype="130" unbalanced="0"/>
    <cacheHierarchy uniqueName="[Tabla1].[Web]" caption="Web" attribute="1" defaultMemberUniqueName="[Tabla1].[Web].[All]" allUniqueName="[Tabla1].[Web].[All]" dimensionUniqueName="[Tabla1]" displayFolder="" count="0" memberValueDatatype="130" unbalanced="0"/>
    <cacheHierarchy uniqueName="[Tabla1].[Otros]" caption="Otros" attribute="1" defaultMemberUniqueName="[Tabla1].[Otros].[All]" allUniqueName="[Tabla1].[Otros].[All]" dimensionUniqueName="[Tabla1]" displayFolder="" count="0" memberValueDatatype="130" unbalanced="0"/>
    <cacheHierarchy uniqueName="[Tabla1].[Presupuesto S/.]" caption="Presupuesto S/." attribute="1" defaultMemberUniqueName="[Tabla1].[Presupuesto S/.].[All]" allUniqueName="[Tabla1].[Presupuesto S/.].[All]" dimensionUniqueName="[Tabla1]" displayFolder="" count="0" memberValueDatatype="20" unbalanced="0"/>
    <cacheHierarchy uniqueName="[Tabla1].[Aprobado S/.]" caption="Aprobado S/." attribute="1" defaultMemberUniqueName="[Tabla1].[Aprobado S/.].[All]" allUniqueName="[Tabla1].[Aprobado S/.].[All]" dimensionUniqueName="[Tabla1]" displayFolder="" count="0" memberValueDatatype="20" unbalanced="0"/>
    <cacheHierarchy uniqueName="[Tabla1].[% Aprob]" caption="% Aprob" attribute="1" defaultMemberUniqueName="[Tabla1].[% Aprob].[All]" allUniqueName="[Tabla1].[% Aprob].[All]" dimensionUniqueName="[Tabla1]" displayFolder="" count="0" memberValueDatatype="5" unbalanced="0"/>
    <cacheHierarchy uniqueName="[Tabla1].[Ejecutado S/.]" caption="Ejecutado S/." attribute="1" defaultMemberUniqueName="[Tabla1].[Ejecutado S/.].[All]" allUniqueName="[Tabla1].[Ejecutado S/.].[All]" dimensionUniqueName="[Tabla1]" displayFolder="" count="0" memberValueDatatype="20" unbalanced="0"/>
    <cacheHierarchy uniqueName="[Tabla1].[% Ejec]" caption="% Ejec" attribute="1" defaultMemberUniqueName="[Tabla1].[% Ejec].[All]" allUniqueName="[Tabla1].[% Ejec].[All]" dimensionUniqueName="[Tabla1]" displayFolder="" count="0" memberValueDatatype="5" unbalanced="0"/>
    <cacheHierarchy uniqueName="[Tabla1].[Estado presupuesto]" caption="Estado presupuesto" attribute="1" defaultMemberUniqueName="[Tabla1].[Estado presupuesto].[All]" allUniqueName="[Tabla1].[Estado presupuesto].[All]" dimensionUniqueName="[Tabla1]" displayFolder="" count="0" memberValueDatatype="130" unbalanced="0"/>
    <cacheHierarchy uniqueName="[Tabla1].[Fecha aprobación]" caption="Fecha aprobación" attribute="1" time="1" defaultMemberUniqueName="[Tabla1].[Fecha aprobación].[All]" allUniqueName="[Tabla1].[Fecha aprobación].[All]" dimensionUniqueName="[Tabla1]" displayFolder="" count="0" memberValueDatatype="7" unbalanced="0"/>
    <cacheHierarchy uniqueName="[Tabla1].[mm.aa fch aprob]" caption="mm.aa fch aprob" attribute="1" time="1" defaultMemberUniqueName="[Tabla1].[mm.aa fch aprob].[All]" allUniqueName="[Tabla1].[mm.aa fch aprob].[All]" dimensionUniqueName="[Tabla1]" displayFolder="" count="0" memberValueDatatype="7" unbalanced="0"/>
    <cacheHierarchy uniqueName="[Tabla1].[Año Proy]" caption="Año Proy" attribute="1" defaultMemberUniqueName="[Tabla1].[Año Proy].[All]" allUniqueName="[Tabla1].[Año Proy].[All]" dimensionUniqueName="[Tabla1]" displayFolder="" count="2" memberValueDatatype="20" unbalanced="0">
      <fieldsUsage count="2">
        <fieldUsage x="-1"/>
        <fieldUsage x="1"/>
      </fieldsUsage>
    </cacheHierarchy>
    <cacheHierarchy uniqueName="[Tabla1].[Línea de negocio]" caption="Línea de negocio" attribute="1" defaultMemberUniqueName="[Tabla1].[Línea de negocio].[All]" allUniqueName="[Tabla1].[Línea de negocio].[All]" dimensionUniqueName="[Tabla1]" displayFolder="" count="0" memberValueDatatype="130" unbalanced="0"/>
    <cacheHierarchy uniqueName="[Tabla1].[País]" caption="País" attribute="1" defaultMemberUniqueName="[Tabla1].[País].[All]" allUniqueName="[Tabla1].[País].[All]" dimensionUniqueName="[Tabla1]" displayFolder="" count="0" memberValueDatatype="130" unbalanced="0"/>
    <cacheHierarchy uniqueName="[Tabla1].[Fecha aprobación (mes)]" caption="Fecha aprobación (mes)" attribute="1" defaultMemberUniqueName="[Tabla1].[Fecha aprobación (mes)].[All]" allUniqueName="[Tabla1].[Fecha aprobación (mes)].[All]" dimensionUniqueName="[Tabla1]" displayFolder="" count="0" memberValueDatatype="130" unbalanced="0"/>
    <cacheHierarchy uniqueName="[Tabla2].[Llave]" caption="Llave" attribute="1" defaultMemberUniqueName="[Tabla2].[Llave].[All]" allUniqueName="[Tabla2].[Llave].[All]" dimensionUniqueName="[Tabla2]" displayFolder="" count="0" memberValueDatatype="130" unbalanced="0"/>
    <cacheHierarchy uniqueName="[Tabla2].[ID]" caption="ID" attribute="1" defaultMemberUniqueName="[Tabla2].[ID].[All]" allUniqueName="[Tabla2].[ID].[All]" dimensionUniqueName="[Tabla2]" displayFolder="" count="0" memberValueDatatype="130" unbalanced="0"/>
    <cacheHierarchy uniqueName="[Tabla2].[Año Proy]" caption="Año Proy" attribute="1" defaultMemberUniqueName="[Tabla2].[Año Proy].[All]" allUniqueName="[Tabla2].[Año Proy].[All]" dimensionUniqueName="[Tabla2]" displayFolder="" count="0" memberValueDatatype="20" unbalanced="0"/>
    <cacheHierarchy uniqueName="[Tabla2].[Fecha]" caption="Fecha" attribute="1" time="1" defaultMemberUniqueName="[Tabla2].[Fecha].[All]" allUniqueName="[Tabla2].[Fecha].[All]" dimensionUniqueName="[Tabla2]" displayFolder="" count="0" memberValueDatatype="7" unbalanced="0"/>
    <cacheHierarchy uniqueName="[Tabla2].[Proveedor]" caption="Proveedor" attribute="1" defaultMemberUniqueName="[Tabla2].[Proveedor].[All]" allUniqueName="[Tabla2].[Proveedor].[All]" dimensionUniqueName="[Tabla2]" displayFolder="" count="0" memberValueDatatype="130" unbalanced="0"/>
    <cacheHierarchy uniqueName="[Tabla2].[Código]" caption="Código" attribute="1" defaultMemberUniqueName="[Tabla2].[Código].[All]" allUniqueName="[Tabla2].[Código].[All]" dimensionUniqueName="[Tabla2]" displayFolder="" count="0" memberValueDatatype="130" unbalanced="0"/>
    <cacheHierarchy uniqueName="[Tabla2].[Factura]" caption="Factura" attribute="1" defaultMemberUniqueName="[Tabla2].[Factura].[All]" allUniqueName="[Tabla2].[Factura].[All]" dimensionUniqueName="[Tabla2]" displayFolder="" count="0" memberValueDatatype="130" unbalanced="0"/>
    <cacheHierarchy uniqueName="[Tabla2].[Mes aprob]" caption="Mes aprob" attribute="1" time="1" defaultMemberUniqueName="[Tabla2].[Mes aprob].[All]" allUniqueName="[Tabla2].[Mes aprob].[All]" dimensionUniqueName="[Tabla2]" displayFolder="" count="0" memberValueDatatype="7" unbalanced="0"/>
    <cacheHierarchy uniqueName="[Tabla2].[OS]" caption="OS" attribute="1" defaultMemberUniqueName="[Tabla2].[OS].[All]" allUniqueName="[Tabla2].[OS].[All]" dimensionUniqueName="[Tabla2]" displayFolder="" count="0" memberValueDatatype="130" unbalanced="0"/>
    <cacheHierarchy uniqueName="[Tabla2].[Proyecto]" caption="Proyecto" attribute="1" defaultMemberUniqueName="[Tabla2].[Proyecto].[All]" allUniqueName="[Tabla2].[Proyecto].[All]" dimensionUniqueName="[Tabla2]" displayFolder="" count="0" memberValueDatatype="130" unbalanced="0"/>
    <cacheHierarchy uniqueName="[Tabla2].[# Cuota]" caption="# Cuota" attribute="1" defaultMemberUniqueName="[Tabla2].[# Cuota].[All]" allUniqueName="[Tabla2].[# Cuota].[All]" dimensionUniqueName="[Tabla2]" displayFolder="" count="0" memberValueDatatype="20" unbalanced="0"/>
    <cacheHierarchy uniqueName="[Tabla2].[Detalle cuota]" caption="Detalle cuota" attribute="1" defaultMemberUniqueName="[Tabla2].[Detalle cuota].[All]" allUniqueName="[Tabla2].[Detalle cuota].[All]" dimensionUniqueName="[Tabla2]" displayFolder="" count="0" memberValueDatatype="130" unbalanced="0"/>
    <cacheHierarchy uniqueName="[Tabla2].[Cuota]" caption="Cuota" attribute="1" defaultMemberUniqueName="[Tabla2].[Cuota].[All]" allUniqueName="[Tabla2].[Cuota].[All]" dimensionUniqueName="[Tabla2]" displayFolder="" count="0" memberValueDatatype="5" unbalanced="0"/>
    <cacheHierarchy uniqueName="[Tabla2].[Total cuotas]" caption="Total cuotas" attribute="1" defaultMemberUniqueName="[Tabla2].[Total cuotas].[All]" allUniqueName="[Tabla2].[Total cuotas].[All]" dimensionUniqueName="[Tabla2]" displayFolder="" count="0" memberValueDatatype="20" unbalanced="0"/>
    <cacheHierarchy uniqueName="[Tabla2].[Moneda]" caption="Moneda" attribute="1" defaultMemberUniqueName="[Tabla2].[Moneda].[All]" allUniqueName="[Tabla2].[Moneda].[All]" dimensionUniqueName="[Tabla2]" displayFolder="" count="0" memberValueDatatype="130" unbalanced="0"/>
    <cacheHierarchy uniqueName="[Tabla2].[Cuota S/.]" caption="Cuota S/." attribute="1" defaultMemberUniqueName="[Tabla2].[Cuota S/.].[All]" allUniqueName="[Tabla2].[Cuota S/.].[All]" dimensionUniqueName="[Tabla2]" displayFolder="" count="0" memberValueDatatype="5" unbalanced="0"/>
    <cacheHierarchy uniqueName="[Tabla2].[Cuenta]" caption="Cuenta" attribute="1" defaultMemberUniqueName="[Tabla2].[Cuenta].[All]" allUniqueName="[Tabla2].[Cuenta].[All]" dimensionUniqueName="[Tabla2]" displayFolder="" count="0" memberValueDatatype="130" unbalanced="0"/>
    <cacheHierarchy uniqueName="[Tabla2].[País]" caption="País" attribute="1" defaultMemberUniqueName="[Tabla2].[País].[All]" allUniqueName="[Tabla2].[País].[All]" dimensionUniqueName="[Tabla2]" displayFolder="" count="0" memberValueDatatype="130" unbalanced="0"/>
    <cacheHierarchy uniqueName="[Tabla2].[Área]" caption="Área" attribute="1" defaultMemberUniqueName="[Tabla2].[Área].[All]" allUniqueName="[Tabla2].[Área].[All]" dimensionUniqueName="[Tabla2]" displayFolder="" count="0" memberValueDatatype="130" unbalanced="0"/>
    <cacheHierarchy uniqueName="[Tabla2].[Estado]" caption="Estado" attribute="1" defaultMemberUniqueName="[Tabla2].[Estado].[All]" allUniqueName="[Tabla2].[Estado].[All]" dimensionUniqueName="[Tabla2]" displayFolder="" count="0" memberValueDatatype="130" unbalanced="0"/>
    <cacheHierarchy uniqueName="[Tabla2].[F Venc]" caption="F Venc" attribute="1" defaultMemberUniqueName="[Tabla2].[F Venc].[All]" allUniqueName="[Tabla2].[F Venc].[All]" dimensionUniqueName="[Tabla2]" displayFolder="" count="0" memberValueDatatype="130" unbalanced="0"/>
    <cacheHierarchy uniqueName="[Tabla2].[Fecha pago]" caption="Fecha pago" attribute="1" defaultMemberUniqueName="[Tabla2].[Fecha pago].[All]" allUniqueName="[Tabla2].[Fecha pago].[All]" dimensionUniqueName="[Tabla2]" displayFolder="" count="0" memberValueDatatype="130" unbalanced="0"/>
    <cacheHierarchy uniqueName="[Tabla2].[mm.aa]" caption="mm.aa" attribute="1" time="1" defaultMemberUniqueName="[Tabla2].[mm.aa].[All]" allUniqueName="[Tabla2].[mm.aa].[All]" dimensionUniqueName="[Tabla2]" displayFolder="" count="0" memberValueDatatype="7" unbalanced="0"/>
    <cacheHierarchy uniqueName="[Tabla2].[Sistema]" caption="Sistema" attribute="1" defaultMemberUniqueName="[Tabla2].[Sistema].[All]" allUniqueName="[Tabla2].[Sistema].[All]" dimensionUniqueName="[Tabla2]" displayFolder="" count="0" memberValueDatatype="130" unbalanced="0"/>
    <cacheHierarchy uniqueName="[Tabla2].[Fecha (año)]" caption="Fecha (año)" attribute="1" defaultMemberUniqueName="[Tabla2].[Fecha (año)].[All]" allUniqueName="[Tabla2].[Fecha (año)].[All]" dimensionUniqueName="[Tabla2]" displayFolder="" count="0" memberValueDatatype="130" unbalanced="0"/>
    <cacheHierarchy uniqueName="[Tabla2].[Fecha (trimestre)]" caption="Fecha (trimestre)" attribute="1" defaultMemberUniqueName="[Tabla2].[Fecha (trimestre)].[All]" allUniqueName="[Tabla2].[Fecha (trimestre)].[All]" dimensionUniqueName="[Tabla2]" displayFolder="" count="0" memberValueDatatype="130" unbalanced="0"/>
    <cacheHierarchy uniqueName="[Tabla2].[Fecha (mes)]" caption="Fecha (mes)" attribute="1" defaultMemberUniqueName="[Tabla2].[Fecha (mes)].[All]" allUniqueName="[Tabla2].[Fecha (mes)].[All]" dimensionUniqueName="[Tabla2]" displayFolder="" count="0" memberValueDatatype="130" unbalanced="0"/>
    <cacheHierarchy uniqueName="[Tabla2].[mm.aa (año)]" caption="mm.aa (año)" attribute="1" defaultMemberUniqueName="[Tabla2].[mm.aa (año)].[All]" allUniqueName="[Tabla2].[mm.aa (año)].[All]" dimensionUniqueName="[Tabla2]" displayFolder="" count="0" memberValueDatatype="130" unbalanced="0"/>
    <cacheHierarchy uniqueName="[Tabla2].[mm.aa (trimestre)]" caption="mm.aa (trimestre)" attribute="1" defaultMemberUniqueName="[Tabla2].[mm.aa (trimestre)].[All]" allUniqueName="[Tabla2].[mm.aa (trimestre)].[All]" dimensionUniqueName="[Tabla2]" displayFolder="" count="0" memberValueDatatype="130" unbalanced="0"/>
    <cacheHierarchy uniqueName="[Tabla2].[mm.aa (mes)]" caption="mm.aa (mes)" attribute="1" defaultMemberUniqueName="[Tabla2].[mm.aa (mes)].[All]" allUniqueName="[Tabla2].[mm.aa (mes)].[All]" dimensionUniqueName="[Tabla2]" displayFolder="" count="0" memberValueDatatype="130" unbalanced="0"/>
    <cacheHierarchy uniqueName="[Tabla2].[Mes aprob (año)]" caption="Mes aprob (año)" attribute="1" defaultMemberUniqueName="[Tabla2].[Mes aprob (año)].[All]" allUniqueName="[Tabla2].[Mes aprob (año)].[All]" dimensionUniqueName="[Tabla2]" displayFolder="" count="0" memberValueDatatype="130" unbalanced="0"/>
    <cacheHierarchy uniqueName="[Tabla2].[Mes aprob (trimestre)]" caption="Mes aprob (trimestre)" attribute="1" defaultMemberUniqueName="[Tabla2].[Mes aprob (trimestre)].[All]" allUniqueName="[Tabla2].[Mes aprob (trimestre)].[All]" dimensionUniqueName="[Tabla2]" displayFolder="" count="0" memberValueDatatype="130" unbalanced="0"/>
    <cacheHierarchy uniqueName="[Tabla2].[Mes aprob (mes)]" caption="Mes aprob (mes)" attribute="1" defaultMemberUniqueName="[Tabla2].[Mes aprob (mes)].[All]" allUniqueName="[Tabla2].[Mes aprob (mes)].[All]" dimensionUniqueName="[Tabla2]" displayFolder="" count="0" memberValueDatatype="130" unbalanced="0"/>
    <cacheHierarchy uniqueName="[Tabla1].[Fecha aprobación (índice de meses)]" caption="Fecha aprobación (índice de meses)" attribute="1" defaultMemberUniqueName="[Tabla1].[Fecha aprobación (índice de meses)].[All]" allUniqueName="[Tabla1].[Fecha aprobación (índice de meses)].[All]" dimensionUniqueName="[Tabla1]" displayFolder="" count="0" memberValueDatatype="20" unbalanced="0" hidden="1"/>
    <cacheHierarchy uniqueName="[Tabla2].[Fecha (índice de meses)]" caption="Fecha (índice de meses)" attribute="1" defaultMemberUniqueName="[Tabla2].[Fecha (índice de meses)].[All]" allUniqueName="[Tabla2].[Fecha (índice de meses)].[All]" dimensionUniqueName="[Tabla2]" displayFolder="" count="0" memberValueDatatype="20" unbalanced="0" hidden="1"/>
    <cacheHierarchy uniqueName="[Tabla2].[Mes aprob (índice de meses)]" caption="Mes aprob (índice de meses)" attribute="1" defaultMemberUniqueName="[Tabla2].[Mes aprob (índice de meses)].[All]" allUniqueName="[Tabla2].[Mes aprob (índice de meses)].[All]" dimensionUniqueName="[Tabla2]" displayFolder="" count="0" memberValueDatatype="20" unbalanced="0" hidden="1"/>
    <cacheHierarchy uniqueName="[Tabla2].[mm.aa (índice de meses)]" caption="mm.aa (índice de meses)" attribute="1" defaultMemberUniqueName="[Tabla2].[mm.aa (índice de meses)].[All]" allUniqueName="[Tabla2].[mm.aa (índice de meses)].[All]" dimensionUniqueName="[Tabla2]" displayFolder="" count="0" memberValueDatatype="20" unbalanced="0" hidden="1"/>
    <cacheHierarchy uniqueName="[Measures].[__XL_Count Tabla2]" caption="__XL_Count Tabla2" measure="1" displayFolder="" measureGroup="Tabla2" count="0" hidden="1"/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  <cacheHierarchy uniqueName="[Measures].[Suma de Año Proy]" caption="Suma de Año Proy" measure="1" displayFolder="" measureGroup="Tabla2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Recuento de Proyecto]" caption="Recuento de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e SG5]" caption="Recuento de SG5" measure="1" displayFolder="" measureGroup="Tabla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Recuento de CRM]" caption="Recuento de CRM" measure="1" displayFolder="" measureGroup="Tabla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Exactus]" caption="Recuento de Exactus" measure="1" displayFolder="" measureGroup="Tabla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Recuento de Web]" caption="Recuento de Web" measure="1" displayFolder="" measureGroup="Tabla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Recuento de Estado proyecto]" caption="Recuento de Estado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Ejecutado S/.]" caption="Suma de Ejecutado S/." measure="1" displayFolder="" measureGroup="Tabla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Aprobado S/.]" caption="Suma de Aprobado S/." measure="1" displayFolder="" measureGroup="Tabla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Fecha aprobación]" caption="Recuento de Fecha aprobación" measure="1" displayFolder="" measureGroup="Tabla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a de Presupuesto S/.]" caption="Suma de Presupuesto S/." measure="1" displayFolder="" measureGroup="Tabla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Cuota]" caption="Suma de Cuota" measure="1" displayFolder="" measureGroup="Tabla2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de Año Proy 2]" caption="Suma de Año Proy 2" measure="1" displayFolder="" measureGroup="Tabla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de % Aprob]" caption="Suma de % Aprob" measure="1" displayFolder="" measureGroup="Tabla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% Ejec]" caption="Suma de % Ejec" measure="1" displayFolder="" measureGroup="Tabla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de Cuota S/.]" caption="Suma de Cuota S/." measure="1" displayFolder="" measureGroup="Tabla2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</cacheHierarchies>
  <kpis count="0"/>
  <dimensions count="3">
    <dimension measure="1" name="Measures" uniqueName="[Measures]" caption="Measures"/>
    <dimension name="Tabla1" uniqueName="[Tabla1]" caption="Tabla1"/>
    <dimension name="Tabla2" uniqueName="[Tabla2]" caption="Tabla2"/>
  </dimensions>
  <measureGroups count="2">
    <measureGroup name="Tabla1" caption="Tabla1"/>
    <measureGroup name="Tabla2" caption="Tabla2"/>
  </measureGroups>
  <maps count="3">
    <map measureGroup="0" dimension="1"/>
    <map measureGroup="1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laniz Andrea Arce Castillo" refreshedDate="45495.580683912034" backgroundQuery="1" createdVersion="8" refreshedVersion="8" minRefreshableVersion="3" recordCount="0" supportSubquery="1" supportAdvancedDrill="1" xr:uid="{ED8BB710-7CF8-4CAB-B906-F3BB93AB52A2}">
  <cacheSource type="external" connectionId="1"/>
  <cacheFields count="2">
    <cacheField name="[Measures].[Suma de Aprobado S/.]" caption="Suma de Aprobado S/." numFmtId="0" hierarchy="79" level="32767"/>
    <cacheField name="[Tabla1].[Año Proy].[Año Proy]" caption="Año Proy" numFmtId="0" hierarchy="27" level="1">
      <sharedItems containsSemiMixedTypes="0" containsNonDate="0" containsString="0"/>
    </cacheField>
  </cacheFields>
  <cacheHierarchies count="87">
    <cacheHierarchy uniqueName="[Tabla1].[Llave]" caption="Llave" attribute="1" defaultMemberUniqueName="[Tabla1].[Llave].[All]" allUniqueName="[Tabla1].[Llave].[All]" dimensionUniqueName="[Tabla1]" displayFolder="" count="0" memberValueDatatype="130" unbalanced="0"/>
    <cacheHierarchy uniqueName="[Tabla1].[ID]" caption="ID" attribute="1" defaultMemberUniqueName="[Tabla1].[ID].[All]" allUniqueName="[Tabla1].[ID].[All]" dimensionUniqueName="[Tabla1]" displayFolder="" count="0" memberValueDatatype="130" unbalanced="0"/>
    <cacheHierarchy uniqueName="[Tabla1].[Proyecto]" caption="Proyecto" attribute="1" defaultMemberUniqueName="[Tabla1].[Proyecto].[All]" allUniqueName="[Tabla1].[Proyecto].[All]" dimensionUniqueName="[Tabla1]" displayFolder="" count="0" memberValueDatatype="130" unbalanced="0"/>
    <cacheHierarchy uniqueName="[Tabla1].[Alcance]" caption="Alcance" attribute="1" defaultMemberUniqueName="[Tabla1].[Alcance].[All]" allUniqueName="[Tabla1].[Alcance].[All]" dimensionUniqueName="[Tabla1]" displayFolder="" count="0" memberValueDatatype="130" unbalanced="0"/>
    <cacheHierarchy uniqueName="[Tabla1].[Área]" caption="Área" attribute="1" defaultMemberUniqueName="[Tabla1].[Área].[All]" allUniqueName="[Tabla1].[Área].[All]" dimensionUniqueName="[Tabla1]" displayFolder="" count="0" memberValueDatatype="130" unbalanced="0"/>
    <cacheHierarchy uniqueName="[Tabla1].[Sub-Área]" caption="Sub-Área" attribute="1" defaultMemberUniqueName="[Tabla1].[Sub-Área].[All]" allUniqueName="[Tabla1].[Sub-Área].[All]" dimensionUniqueName="[Tabla1]" displayFolder="" count="0" memberValueDatatype="130" unbalanced="0"/>
    <cacheHierarchy uniqueName="[Tabla1].[Involucradas]" caption="Involucradas" attribute="1" defaultMemberUniqueName="[Tabla1].[Involucradas].[All]" allUniqueName="[Tabla1].[Involucradas].[All]" dimensionUniqueName="[Tabla1]" displayFolder="" count="0" memberValueDatatype="130" unbalanced="0"/>
    <cacheHierarchy uniqueName="[Tabla1].[Tamaño]" caption="Tamaño" attribute="1" defaultMemberUniqueName="[Tabla1].[Tamaño].[All]" allUniqueName="[Tabla1].[Tamaño].[All]" dimensionUniqueName="[Tabla1]" displayFolder="" count="0" memberValueDatatype="130" unbalanced="0"/>
    <cacheHierarchy uniqueName="[Tabla1].[Puntaje]" caption="Puntaje" attribute="1" defaultMemberUniqueName="[Tabla1].[Puntaje].[All]" allUniqueName="[Tabla1].[Puntaje].[All]" dimensionUniqueName="[Tabla1]" displayFolder="" count="0" memberValueDatatype="20" unbalanced="0"/>
    <cacheHierarchy uniqueName="[Tabla1].[Esfuerzo]" caption="Esfuerzo" attribute="1" defaultMemberUniqueName="[Tabla1].[Esfuerzo].[All]" allUniqueName="[Tabla1].[Esfuerzo].[All]" dimensionUniqueName="[Tabla1]" displayFolder="" count="0" memberValueDatatype="20" unbalanced="0"/>
    <cacheHierarchy uniqueName="[Tabla1].[Líder]" caption="Líder" attribute="1" defaultMemberUniqueName="[Tabla1].[Líder].[All]" allUniqueName="[Tabla1].[Líder].[All]" dimensionUniqueName="[Tabla1]" displayFolder="" count="0" memberValueDatatype="130" unbalanced="0"/>
    <cacheHierarchy uniqueName="[Tabla1].[P.Manager]" caption="P.Manager" attribute="1" defaultMemberUniqueName="[Tabla1].[P.Manager].[All]" allUniqueName="[Tabla1].[P.Manager].[All]" dimensionUniqueName="[Tabla1]" displayFolder="" count="0" memberValueDatatype="130" unbalanced="0"/>
    <cacheHierarchy uniqueName="[Tabla1].[Estado proyecto]" caption="Estado proyecto" attribute="1" defaultMemberUniqueName="[Tabla1].[Estado proyecto].[All]" allUniqueName="[Tabla1].[Estado proyecto].[All]" dimensionUniqueName="[Tabla1]" displayFolder="" count="0" memberValueDatatype="130" unbalanced="0"/>
    <cacheHierarchy uniqueName="[Tabla1].[Proveedor principal]" caption="Proveedor principal" attribute="1" defaultMemberUniqueName="[Tabla1].[Proveedor principal].[All]" allUniqueName="[Tabla1].[Proveedor principal].[All]" dimensionUniqueName="[Tabla1]" displayFolder="" count="0" memberValueDatatype="130" unbalanced="0"/>
    <cacheHierarchy uniqueName="[Tabla1].[SG5]" caption="SG5" attribute="1" defaultMemberUniqueName="[Tabla1].[SG5].[All]" allUniqueName="[Tabla1].[SG5].[All]" dimensionUniqueName="[Tabla1]" displayFolder="" count="0" memberValueDatatype="130" unbalanced="0"/>
    <cacheHierarchy uniqueName="[Tabla1].[CRM]" caption="CRM" attribute="1" defaultMemberUniqueName="[Tabla1].[CRM].[All]" allUniqueName="[Tabla1].[CRM].[All]" dimensionUniqueName="[Tabla1]" displayFolder="" count="0" memberValueDatatype="130" unbalanced="0"/>
    <cacheHierarchy uniqueName="[Tabla1].[Exactus]" caption="Exactus" attribute="1" defaultMemberUniqueName="[Tabla1].[Exactus].[All]" allUniqueName="[Tabla1].[Exactus].[All]" dimensionUniqueName="[Tabla1]" displayFolder="" count="0" memberValueDatatype="130" unbalanced="0"/>
    <cacheHierarchy uniqueName="[Tabla1].[Web]" caption="Web" attribute="1" defaultMemberUniqueName="[Tabla1].[Web].[All]" allUniqueName="[Tabla1].[Web].[All]" dimensionUniqueName="[Tabla1]" displayFolder="" count="0" memberValueDatatype="130" unbalanced="0"/>
    <cacheHierarchy uniqueName="[Tabla1].[Otros]" caption="Otros" attribute="1" defaultMemberUniqueName="[Tabla1].[Otros].[All]" allUniqueName="[Tabla1].[Otros].[All]" dimensionUniqueName="[Tabla1]" displayFolder="" count="0" memberValueDatatype="130" unbalanced="0"/>
    <cacheHierarchy uniqueName="[Tabla1].[Presupuesto S/.]" caption="Presupuesto S/." attribute="1" defaultMemberUniqueName="[Tabla1].[Presupuesto S/.].[All]" allUniqueName="[Tabla1].[Presupuesto S/.].[All]" dimensionUniqueName="[Tabla1]" displayFolder="" count="0" memberValueDatatype="20" unbalanced="0"/>
    <cacheHierarchy uniqueName="[Tabla1].[Aprobado S/.]" caption="Aprobado S/." attribute="1" defaultMemberUniqueName="[Tabla1].[Aprobado S/.].[All]" allUniqueName="[Tabla1].[Aprobado S/.].[All]" dimensionUniqueName="[Tabla1]" displayFolder="" count="0" memberValueDatatype="20" unbalanced="0"/>
    <cacheHierarchy uniqueName="[Tabla1].[% Aprob]" caption="% Aprob" attribute="1" defaultMemberUniqueName="[Tabla1].[% Aprob].[All]" allUniqueName="[Tabla1].[% Aprob].[All]" dimensionUniqueName="[Tabla1]" displayFolder="" count="0" memberValueDatatype="5" unbalanced="0"/>
    <cacheHierarchy uniqueName="[Tabla1].[Ejecutado S/.]" caption="Ejecutado S/." attribute="1" defaultMemberUniqueName="[Tabla1].[Ejecutado S/.].[All]" allUniqueName="[Tabla1].[Ejecutado S/.].[All]" dimensionUniqueName="[Tabla1]" displayFolder="" count="0" memberValueDatatype="20" unbalanced="0"/>
    <cacheHierarchy uniqueName="[Tabla1].[% Ejec]" caption="% Ejec" attribute="1" defaultMemberUniqueName="[Tabla1].[% Ejec].[All]" allUniqueName="[Tabla1].[% Ejec].[All]" dimensionUniqueName="[Tabla1]" displayFolder="" count="0" memberValueDatatype="5" unbalanced="0"/>
    <cacheHierarchy uniqueName="[Tabla1].[Estado presupuesto]" caption="Estado presupuesto" attribute="1" defaultMemberUniqueName="[Tabla1].[Estado presupuesto].[All]" allUniqueName="[Tabla1].[Estado presupuesto].[All]" dimensionUniqueName="[Tabla1]" displayFolder="" count="0" memberValueDatatype="130" unbalanced="0"/>
    <cacheHierarchy uniqueName="[Tabla1].[Fecha aprobación]" caption="Fecha aprobación" attribute="1" time="1" defaultMemberUniqueName="[Tabla1].[Fecha aprobación].[All]" allUniqueName="[Tabla1].[Fecha aprobación].[All]" dimensionUniqueName="[Tabla1]" displayFolder="" count="0" memberValueDatatype="7" unbalanced="0"/>
    <cacheHierarchy uniqueName="[Tabla1].[mm.aa fch aprob]" caption="mm.aa fch aprob" attribute="1" time="1" defaultMemberUniqueName="[Tabla1].[mm.aa fch aprob].[All]" allUniqueName="[Tabla1].[mm.aa fch aprob].[All]" dimensionUniqueName="[Tabla1]" displayFolder="" count="0" memberValueDatatype="7" unbalanced="0"/>
    <cacheHierarchy uniqueName="[Tabla1].[Año Proy]" caption="Año Proy" attribute="1" defaultMemberUniqueName="[Tabla1].[Año Proy].[All]" allUniqueName="[Tabla1].[Año Proy].[All]" dimensionUniqueName="[Tabla1]" displayFolder="" count="2" memberValueDatatype="20" unbalanced="0">
      <fieldsUsage count="2">
        <fieldUsage x="-1"/>
        <fieldUsage x="1"/>
      </fieldsUsage>
    </cacheHierarchy>
    <cacheHierarchy uniqueName="[Tabla1].[Línea de negocio]" caption="Línea de negocio" attribute="1" defaultMemberUniqueName="[Tabla1].[Línea de negocio].[All]" allUniqueName="[Tabla1].[Línea de negocio].[All]" dimensionUniqueName="[Tabla1]" displayFolder="" count="0" memberValueDatatype="130" unbalanced="0"/>
    <cacheHierarchy uniqueName="[Tabla1].[País]" caption="País" attribute="1" defaultMemberUniqueName="[Tabla1].[País].[All]" allUniqueName="[Tabla1].[País].[All]" dimensionUniqueName="[Tabla1]" displayFolder="" count="0" memberValueDatatype="130" unbalanced="0"/>
    <cacheHierarchy uniqueName="[Tabla1].[Fecha aprobación (mes)]" caption="Fecha aprobación (mes)" attribute="1" defaultMemberUniqueName="[Tabla1].[Fecha aprobación (mes)].[All]" allUniqueName="[Tabla1].[Fecha aprobación (mes)].[All]" dimensionUniqueName="[Tabla1]" displayFolder="" count="0" memberValueDatatype="130" unbalanced="0"/>
    <cacheHierarchy uniqueName="[Tabla2].[Llave]" caption="Llave" attribute="1" defaultMemberUniqueName="[Tabla2].[Llave].[All]" allUniqueName="[Tabla2].[Llave].[All]" dimensionUniqueName="[Tabla2]" displayFolder="" count="0" memberValueDatatype="130" unbalanced="0"/>
    <cacheHierarchy uniqueName="[Tabla2].[ID]" caption="ID" attribute="1" defaultMemberUniqueName="[Tabla2].[ID].[All]" allUniqueName="[Tabla2].[ID].[All]" dimensionUniqueName="[Tabla2]" displayFolder="" count="0" memberValueDatatype="130" unbalanced="0"/>
    <cacheHierarchy uniqueName="[Tabla2].[Año Proy]" caption="Año Proy" attribute="1" defaultMemberUniqueName="[Tabla2].[Año Proy].[All]" allUniqueName="[Tabla2].[Año Proy].[All]" dimensionUniqueName="[Tabla2]" displayFolder="" count="0" memberValueDatatype="20" unbalanced="0"/>
    <cacheHierarchy uniqueName="[Tabla2].[Fecha]" caption="Fecha" attribute="1" time="1" defaultMemberUniqueName="[Tabla2].[Fecha].[All]" allUniqueName="[Tabla2].[Fecha].[All]" dimensionUniqueName="[Tabla2]" displayFolder="" count="0" memberValueDatatype="7" unbalanced="0"/>
    <cacheHierarchy uniqueName="[Tabla2].[Proveedor]" caption="Proveedor" attribute="1" defaultMemberUniqueName="[Tabla2].[Proveedor].[All]" allUniqueName="[Tabla2].[Proveedor].[All]" dimensionUniqueName="[Tabla2]" displayFolder="" count="0" memberValueDatatype="130" unbalanced="0"/>
    <cacheHierarchy uniqueName="[Tabla2].[Código]" caption="Código" attribute="1" defaultMemberUniqueName="[Tabla2].[Código].[All]" allUniqueName="[Tabla2].[Código].[All]" dimensionUniqueName="[Tabla2]" displayFolder="" count="0" memberValueDatatype="130" unbalanced="0"/>
    <cacheHierarchy uniqueName="[Tabla2].[Factura]" caption="Factura" attribute="1" defaultMemberUniqueName="[Tabla2].[Factura].[All]" allUniqueName="[Tabla2].[Factura].[All]" dimensionUniqueName="[Tabla2]" displayFolder="" count="0" memberValueDatatype="130" unbalanced="0"/>
    <cacheHierarchy uniqueName="[Tabla2].[Mes aprob]" caption="Mes aprob" attribute="1" time="1" defaultMemberUniqueName="[Tabla2].[Mes aprob].[All]" allUniqueName="[Tabla2].[Mes aprob].[All]" dimensionUniqueName="[Tabla2]" displayFolder="" count="0" memberValueDatatype="7" unbalanced="0"/>
    <cacheHierarchy uniqueName="[Tabla2].[OS]" caption="OS" attribute="1" defaultMemberUniqueName="[Tabla2].[OS].[All]" allUniqueName="[Tabla2].[OS].[All]" dimensionUniqueName="[Tabla2]" displayFolder="" count="0" memberValueDatatype="130" unbalanced="0"/>
    <cacheHierarchy uniqueName="[Tabla2].[Proyecto]" caption="Proyecto" attribute="1" defaultMemberUniqueName="[Tabla2].[Proyecto].[All]" allUniqueName="[Tabla2].[Proyecto].[All]" dimensionUniqueName="[Tabla2]" displayFolder="" count="0" memberValueDatatype="130" unbalanced="0"/>
    <cacheHierarchy uniqueName="[Tabla2].[# Cuota]" caption="# Cuota" attribute="1" defaultMemberUniqueName="[Tabla2].[# Cuota].[All]" allUniqueName="[Tabla2].[# Cuota].[All]" dimensionUniqueName="[Tabla2]" displayFolder="" count="0" memberValueDatatype="20" unbalanced="0"/>
    <cacheHierarchy uniqueName="[Tabla2].[Detalle cuota]" caption="Detalle cuota" attribute="1" defaultMemberUniqueName="[Tabla2].[Detalle cuota].[All]" allUniqueName="[Tabla2].[Detalle cuota].[All]" dimensionUniqueName="[Tabla2]" displayFolder="" count="0" memberValueDatatype="130" unbalanced="0"/>
    <cacheHierarchy uniqueName="[Tabla2].[Cuota]" caption="Cuota" attribute="1" defaultMemberUniqueName="[Tabla2].[Cuota].[All]" allUniqueName="[Tabla2].[Cuota].[All]" dimensionUniqueName="[Tabla2]" displayFolder="" count="0" memberValueDatatype="5" unbalanced="0"/>
    <cacheHierarchy uniqueName="[Tabla2].[Total cuotas]" caption="Total cuotas" attribute="1" defaultMemberUniqueName="[Tabla2].[Total cuotas].[All]" allUniqueName="[Tabla2].[Total cuotas].[All]" dimensionUniqueName="[Tabla2]" displayFolder="" count="0" memberValueDatatype="20" unbalanced="0"/>
    <cacheHierarchy uniqueName="[Tabla2].[Moneda]" caption="Moneda" attribute="1" defaultMemberUniqueName="[Tabla2].[Moneda].[All]" allUniqueName="[Tabla2].[Moneda].[All]" dimensionUniqueName="[Tabla2]" displayFolder="" count="0" memberValueDatatype="130" unbalanced="0"/>
    <cacheHierarchy uniqueName="[Tabla2].[Cuota S/.]" caption="Cuota S/." attribute="1" defaultMemberUniqueName="[Tabla2].[Cuota S/.].[All]" allUniqueName="[Tabla2].[Cuota S/.].[All]" dimensionUniqueName="[Tabla2]" displayFolder="" count="0" memberValueDatatype="5" unbalanced="0"/>
    <cacheHierarchy uniqueName="[Tabla2].[Cuenta]" caption="Cuenta" attribute="1" defaultMemberUniqueName="[Tabla2].[Cuenta].[All]" allUniqueName="[Tabla2].[Cuenta].[All]" dimensionUniqueName="[Tabla2]" displayFolder="" count="0" memberValueDatatype="130" unbalanced="0"/>
    <cacheHierarchy uniqueName="[Tabla2].[País]" caption="País" attribute="1" defaultMemberUniqueName="[Tabla2].[País].[All]" allUniqueName="[Tabla2].[País].[All]" dimensionUniqueName="[Tabla2]" displayFolder="" count="0" memberValueDatatype="130" unbalanced="0"/>
    <cacheHierarchy uniqueName="[Tabla2].[Área]" caption="Área" attribute="1" defaultMemberUniqueName="[Tabla2].[Área].[All]" allUniqueName="[Tabla2].[Área].[All]" dimensionUniqueName="[Tabla2]" displayFolder="" count="0" memberValueDatatype="130" unbalanced="0"/>
    <cacheHierarchy uniqueName="[Tabla2].[Estado]" caption="Estado" attribute="1" defaultMemberUniqueName="[Tabla2].[Estado].[All]" allUniqueName="[Tabla2].[Estado].[All]" dimensionUniqueName="[Tabla2]" displayFolder="" count="0" memberValueDatatype="130" unbalanced="0"/>
    <cacheHierarchy uniqueName="[Tabla2].[F Venc]" caption="F Venc" attribute="1" defaultMemberUniqueName="[Tabla2].[F Venc].[All]" allUniqueName="[Tabla2].[F Venc].[All]" dimensionUniqueName="[Tabla2]" displayFolder="" count="0" memberValueDatatype="130" unbalanced="0"/>
    <cacheHierarchy uniqueName="[Tabla2].[Fecha pago]" caption="Fecha pago" attribute="1" defaultMemberUniqueName="[Tabla2].[Fecha pago].[All]" allUniqueName="[Tabla2].[Fecha pago].[All]" dimensionUniqueName="[Tabla2]" displayFolder="" count="0" memberValueDatatype="130" unbalanced="0"/>
    <cacheHierarchy uniqueName="[Tabla2].[mm.aa]" caption="mm.aa" attribute="1" time="1" defaultMemberUniqueName="[Tabla2].[mm.aa].[All]" allUniqueName="[Tabla2].[mm.aa].[All]" dimensionUniqueName="[Tabla2]" displayFolder="" count="0" memberValueDatatype="7" unbalanced="0"/>
    <cacheHierarchy uniqueName="[Tabla2].[Sistema]" caption="Sistema" attribute="1" defaultMemberUniqueName="[Tabla2].[Sistema].[All]" allUniqueName="[Tabla2].[Sistema].[All]" dimensionUniqueName="[Tabla2]" displayFolder="" count="0" memberValueDatatype="130" unbalanced="0"/>
    <cacheHierarchy uniqueName="[Tabla2].[Fecha (año)]" caption="Fecha (año)" attribute="1" defaultMemberUniqueName="[Tabla2].[Fecha (año)].[All]" allUniqueName="[Tabla2].[Fecha (año)].[All]" dimensionUniqueName="[Tabla2]" displayFolder="" count="0" memberValueDatatype="130" unbalanced="0"/>
    <cacheHierarchy uniqueName="[Tabla2].[Fecha (trimestre)]" caption="Fecha (trimestre)" attribute="1" defaultMemberUniqueName="[Tabla2].[Fecha (trimestre)].[All]" allUniqueName="[Tabla2].[Fecha (trimestre)].[All]" dimensionUniqueName="[Tabla2]" displayFolder="" count="0" memberValueDatatype="130" unbalanced="0"/>
    <cacheHierarchy uniqueName="[Tabla2].[Fecha (mes)]" caption="Fecha (mes)" attribute="1" defaultMemberUniqueName="[Tabla2].[Fecha (mes)].[All]" allUniqueName="[Tabla2].[Fecha (mes)].[All]" dimensionUniqueName="[Tabla2]" displayFolder="" count="0" memberValueDatatype="130" unbalanced="0"/>
    <cacheHierarchy uniqueName="[Tabla2].[mm.aa (año)]" caption="mm.aa (año)" attribute="1" defaultMemberUniqueName="[Tabla2].[mm.aa (año)].[All]" allUniqueName="[Tabla2].[mm.aa (año)].[All]" dimensionUniqueName="[Tabla2]" displayFolder="" count="0" memberValueDatatype="130" unbalanced="0"/>
    <cacheHierarchy uniqueName="[Tabla2].[mm.aa (trimestre)]" caption="mm.aa (trimestre)" attribute="1" defaultMemberUniqueName="[Tabla2].[mm.aa (trimestre)].[All]" allUniqueName="[Tabla2].[mm.aa (trimestre)].[All]" dimensionUniqueName="[Tabla2]" displayFolder="" count="0" memberValueDatatype="130" unbalanced="0"/>
    <cacheHierarchy uniqueName="[Tabla2].[mm.aa (mes)]" caption="mm.aa (mes)" attribute="1" defaultMemberUniqueName="[Tabla2].[mm.aa (mes)].[All]" allUniqueName="[Tabla2].[mm.aa (mes)].[All]" dimensionUniqueName="[Tabla2]" displayFolder="" count="0" memberValueDatatype="130" unbalanced="0"/>
    <cacheHierarchy uniqueName="[Tabla2].[Mes aprob (año)]" caption="Mes aprob (año)" attribute="1" defaultMemberUniqueName="[Tabla2].[Mes aprob (año)].[All]" allUniqueName="[Tabla2].[Mes aprob (año)].[All]" dimensionUniqueName="[Tabla2]" displayFolder="" count="0" memberValueDatatype="130" unbalanced="0"/>
    <cacheHierarchy uniqueName="[Tabla2].[Mes aprob (trimestre)]" caption="Mes aprob (trimestre)" attribute="1" defaultMemberUniqueName="[Tabla2].[Mes aprob (trimestre)].[All]" allUniqueName="[Tabla2].[Mes aprob (trimestre)].[All]" dimensionUniqueName="[Tabla2]" displayFolder="" count="0" memberValueDatatype="130" unbalanced="0"/>
    <cacheHierarchy uniqueName="[Tabla2].[Mes aprob (mes)]" caption="Mes aprob (mes)" attribute="1" defaultMemberUniqueName="[Tabla2].[Mes aprob (mes)].[All]" allUniqueName="[Tabla2].[Mes aprob (mes)].[All]" dimensionUniqueName="[Tabla2]" displayFolder="" count="0" memberValueDatatype="130" unbalanced="0"/>
    <cacheHierarchy uniqueName="[Tabla1].[Fecha aprobación (índice de meses)]" caption="Fecha aprobación (índice de meses)" attribute="1" defaultMemberUniqueName="[Tabla1].[Fecha aprobación (índice de meses)].[All]" allUniqueName="[Tabla1].[Fecha aprobación (índice de meses)].[All]" dimensionUniqueName="[Tabla1]" displayFolder="" count="0" memberValueDatatype="20" unbalanced="0" hidden="1"/>
    <cacheHierarchy uniqueName="[Tabla2].[Fecha (índice de meses)]" caption="Fecha (índice de meses)" attribute="1" defaultMemberUniqueName="[Tabla2].[Fecha (índice de meses)].[All]" allUniqueName="[Tabla2].[Fecha (índice de meses)].[All]" dimensionUniqueName="[Tabla2]" displayFolder="" count="0" memberValueDatatype="20" unbalanced="0" hidden="1"/>
    <cacheHierarchy uniqueName="[Tabla2].[Mes aprob (índice de meses)]" caption="Mes aprob (índice de meses)" attribute="1" defaultMemberUniqueName="[Tabla2].[Mes aprob (índice de meses)].[All]" allUniqueName="[Tabla2].[Mes aprob (índice de meses)].[All]" dimensionUniqueName="[Tabla2]" displayFolder="" count="0" memberValueDatatype="20" unbalanced="0" hidden="1"/>
    <cacheHierarchy uniqueName="[Tabla2].[mm.aa (índice de meses)]" caption="mm.aa (índice de meses)" attribute="1" defaultMemberUniqueName="[Tabla2].[mm.aa (índice de meses)].[All]" allUniqueName="[Tabla2].[mm.aa (índice de meses)].[All]" dimensionUniqueName="[Tabla2]" displayFolder="" count="0" memberValueDatatype="20" unbalanced="0" hidden="1"/>
    <cacheHierarchy uniqueName="[Measures].[__XL_Count Tabla2]" caption="__XL_Count Tabla2" measure="1" displayFolder="" measureGroup="Tabla2" count="0" hidden="1"/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  <cacheHierarchy uniqueName="[Measures].[Suma de Año Proy]" caption="Suma de Año Proy" measure="1" displayFolder="" measureGroup="Tabla2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Recuento de Proyecto]" caption="Recuento de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e SG5]" caption="Recuento de SG5" measure="1" displayFolder="" measureGroup="Tabla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Recuento de CRM]" caption="Recuento de CRM" measure="1" displayFolder="" measureGroup="Tabla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Exactus]" caption="Recuento de Exactus" measure="1" displayFolder="" measureGroup="Tabla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Recuento de Web]" caption="Recuento de Web" measure="1" displayFolder="" measureGroup="Tabla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Recuento de Estado proyecto]" caption="Recuento de Estado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Ejecutado S/.]" caption="Suma de Ejecutado S/." measure="1" displayFolder="" measureGroup="Tabla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Aprobado S/.]" caption="Suma de Aprobado S/." measure="1" displayFolder="" measureGroup="Tabla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Fecha aprobación]" caption="Recuento de Fecha aprobación" measure="1" displayFolder="" measureGroup="Tabla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a de Presupuesto S/.]" caption="Suma de Presupuesto S/." measure="1" displayFolder="" measureGroup="Tabla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Cuota]" caption="Suma de Cuota" measure="1" displayFolder="" measureGroup="Tabla2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de Año Proy 2]" caption="Suma de Año Proy 2" measure="1" displayFolder="" measureGroup="Tabla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de % Aprob]" caption="Suma de % Aprob" measure="1" displayFolder="" measureGroup="Tabla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% Ejec]" caption="Suma de % Ejec" measure="1" displayFolder="" measureGroup="Tabla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de Cuota S/.]" caption="Suma de Cuota S/." measure="1" displayFolder="" measureGroup="Tabla2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</cacheHierarchies>
  <kpis count="0"/>
  <dimensions count="3">
    <dimension measure="1" name="Measures" uniqueName="[Measures]" caption="Measures"/>
    <dimension name="Tabla1" uniqueName="[Tabla1]" caption="Tabla1"/>
    <dimension name="Tabla2" uniqueName="[Tabla2]" caption="Tabla2"/>
  </dimensions>
  <measureGroups count="2">
    <measureGroup name="Tabla1" caption="Tabla1"/>
    <measureGroup name="Tabla2" caption="Tabla2"/>
  </measureGroups>
  <maps count="3">
    <map measureGroup="0" dimension="1"/>
    <map measureGroup="1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laniz Andrea Arce Castillo" refreshedDate="45495.58068402778" backgroundQuery="1" createdVersion="8" refreshedVersion="8" minRefreshableVersion="3" recordCount="0" supportSubquery="1" supportAdvancedDrill="1" xr:uid="{01C5300F-63C5-4D34-AB37-C8C11752727E}">
  <cacheSource type="external" connectionId="1"/>
  <cacheFields count="3">
    <cacheField name="[Measures].[Recuento de Proyecto]" caption="Recuento de Proyecto" numFmtId="0" hierarchy="72" level="32767"/>
    <cacheField name="[Tabla1].[Estado presupuesto].[Estado presupuesto]" caption="Estado presupuesto" numFmtId="0" hierarchy="24" level="1">
      <sharedItems containsSemiMixedTypes="0" containsNonDate="0" containsString="0"/>
    </cacheField>
    <cacheField name="[Tabla1].[Año Proy].[Año Proy]" caption="Año Proy" numFmtId="0" hierarchy="27" level="1">
      <sharedItems containsSemiMixedTypes="0" containsNonDate="0" containsString="0"/>
    </cacheField>
  </cacheFields>
  <cacheHierarchies count="87">
    <cacheHierarchy uniqueName="[Tabla1].[Llave]" caption="Llave" attribute="1" defaultMemberUniqueName="[Tabla1].[Llave].[All]" allUniqueName="[Tabla1].[Llave].[All]" dimensionUniqueName="[Tabla1]" displayFolder="" count="0" memberValueDatatype="130" unbalanced="0"/>
    <cacheHierarchy uniqueName="[Tabla1].[ID]" caption="ID" attribute="1" defaultMemberUniqueName="[Tabla1].[ID].[All]" allUniqueName="[Tabla1].[ID].[All]" dimensionUniqueName="[Tabla1]" displayFolder="" count="0" memberValueDatatype="130" unbalanced="0"/>
    <cacheHierarchy uniqueName="[Tabla1].[Proyecto]" caption="Proyecto" attribute="1" defaultMemberUniqueName="[Tabla1].[Proyecto].[All]" allUniqueName="[Tabla1].[Proyecto].[All]" dimensionUniqueName="[Tabla1]" displayFolder="" count="0" memberValueDatatype="130" unbalanced="0"/>
    <cacheHierarchy uniqueName="[Tabla1].[Alcance]" caption="Alcance" attribute="1" defaultMemberUniqueName="[Tabla1].[Alcance].[All]" allUniqueName="[Tabla1].[Alcance].[All]" dimensionUniqueName="[Tabla1]" displayFolder="" count="0" memberValueDatatype="130" unbalanced="0"/>
    <cacheHierarchy uniqueName="[Tabla1].[Área]" caption="Área" attribute="1" defaultMemberUniqueName="[Tabla1].[Área].[All]" allUniqueName="[Tabla1].[Área].[All]" dimensionUniqueName="[Tabla1]" displayFolder="" count="0" memberValueDatatype="130" unbalanced="0"/>
    <cacheHierarchy uniqueName="[Tabla1].[Sub-Área]" caption="Sub-Área" attribute="1" defaultMemberUniqueName="[Tabla1].[Sub-Área].[All]" allUniqueName="[Tabla1].[Sub-Área].[All]" dimensionUniqueName="[Tabla1]" displayFolder="" count="0" memberValueDatatype="130" unbalanced="0"/>
    <cacheHierarchy uniqueName="[Tabla1].[Involucradas]" caption="Involucradas" attribute="1" defaultMemberUniqueName="[Tabla1].[Involucradas].[All]" allUniqueName="[Tabla1].[Involucradas].[All]" dimensionUniqueName="[Tabla1]" displayFolder="" count="0" memberValueDatatype="130" unbalanced="0"/>
    <cacheHierarchy uniqueName="[Tabla1].[Tamaño]" caption="Tamaño" attribute="1" defaultMemberUniqueName="[Tabla1].[Tamaño].[All]" allUniqueName="[Tabla1].[Tamaño].[All]" dimensionUniqueName="[Tabla1]" displayFolder="" count="0" memberValueDatatype="130" unbalanced="0"/>
    <cacheHierarchy uniqueName="[Tabla1].[Puntaje]" caption="Puntaje" attribute="1" defaultMemberUniqueName="[Tabla1].[Puntaje].[All]" allUniqueName="[Tabla1].[Puntaje].[All]" dimensionUniqueName="[Tabla1]" displayFolder="" count="0" memberValueDatatype="20" unbalanced="0"/>
    <cacheHierarchy uniqueName="[Tabla1].[Esfuerzo]" caption="Esfuerzo" attribute="1" defaultMemberUniqueName="[Tabla1].[Esfuerzo].[All]" allUniqueName="[Tabla1].[Esfuerzo].[All]" dimensionUniqueName="[Tabla1]" displayFolder="" count="0" memberValueDatatype="20" unbalanced="0"/>
    <cacheHierarchy uniqueName="[Tabla1].[Líder]" caption="Líder" attribute="1" defaultMemberUniqueName="[Tabla1].[Líder].[All]" allUniqueName="[Tabla1].[Líder].[All]" dimensionUniqueName="[Tabla1]" displayFolder="" count="0" memberValueDatatype="130" unbalanced="0"/>
    <cacheHierarchy uniqueName="[Tabla1].[P.Manager]" caption="P.Manager" attribute="1" defaultMemberUniqueName="[Tabla1].[P.Manager].[All]" allUniqueName="[Tabla1].[P.Manager].[All]" dimensionUniqueName="[Tabla1]" displayFolder="" count="0" memberValueDatatype="130" unbalanced="0"/>
    <cacheHierarchy uniqueName="[Tabla1].[Estado proyecto]" caption="Estado proyecto" attribute="1" defaultMemberUniqueName="[Tabla1].[Estado proyecto].[All]" allUniqueName="[Tabla1].[Estado proyecto].[All]" dimensionUniqueName="[Tabla1]" displayFolder="" count="0" memberValueDatatype="130" unbalanced="0"/>
    <cacheHierarchy uniqueName="[Tabla1].[Proveedor principal]" caption="Proveedor principal" attribute="1" defaultMemberUniqueName="[Tabla1].[Proveedor principal].[All]" allUniqueName="[Tabla1].[Proveedor principal].[All]" dimensionUniqueName="[Tabla1]" displayFolder="" count="0" memberValueDatatype="130" unbalanced="0"/>
    <cacheHierarchy uniqueName="[Tabla1].[SG5]" caption="SG5" attribute="1" defaultMemberUniqueName="[Tabla1].[SG5].[All]" allUniqueName="[Tabla1].[SG5].[All]" dimensionUniqueName="[Tabla1]" displayFolder="" count="0" memberValueDatatype="130" unbalanced="0"/>
    <cacheHierarchy uniqueName="[Tabla1].[CRM]" caption="CRM" attribute="1" defaultMemberUniqueName="[Tabla1].[CRM].[All]" allUniqueName="[Tabla1].[CRM].[All]" dimensionUniqueName="[Tabla1]" displayFolder="" count="0" memberValueDatatype="130" unbalanced="0"/>
    <cacheHierarchy uniqueName="[Tabla1].[Exactus]" caption="Exactus" attribute="1" defaultMemberUniqueName="[Tabla1].[Exactus].[All]" allUniqueName="[Tabla1].[Exactus].[All]" dimensionUniqueName="[Tabla1]" displayFolder="" count="0" memberValueDatatype="130" unbalanced="0"/>
    <cacheHierarchy uniqueName="[Tabla1].[Web]" caption="Web" attribute="1" defaultMemberUniqueName="[Tabla1].[Web].[All]" allUniqueName="[Tabla1].[Web].[All]" dimensionUniqueName="[Tabla1]" displayFolder="" count="0" memberValueDatatype="130" unbalanced="0"/>
    <cacheHierarchy uniqueName="[Tabla1].[Otros]" caption="Otros" attribute="1" defaultMemberUniqueName="[Tabla1].[Otros].[All]" allUniqueName="[Tabla1].[Otros].[All]" dimensionUniqueName="[Tabla1]" displayFolder="" count="0" memberValueDatatype="130" unbalanced="0"/>
    <cacheHierarchy uniqueName="[Tabla1].[Presupuesto S/.]" caption="Presupuesto S/." attribute="1" defaultMemberUniqueName="[Tabla1].[Presupuesto S/.].[All]" allUniqueName="[Tabla1].[Presupuesto S/.].[All]" dimensionUniqueName="[Tabla1]" displayFolder="" count="0" memberValueDatatype="20" unbalanced="0"/>
    <cacheHierarchy uniqueName="[Tabla1].[Aprobado S/.]" caption="Aprobado S/." attribute="1" defaultMemberUniqueName="[Tabla1].[Aprobado S/.].[All]" allUniqueName="[Tabla1].[Aprobado S/.].[All]" dimensionUniqueName="[Tabla1]" displayFolder="" count="0" memberValueDatatype="20" unbalanced="0"/>
    <cacheHierarchy uniqueName="[Tabla1].[% Aprob]" caption="% Aprob" attribute="1" defaultMemberUniqueName="[Tabla1].[% Aprob].[All]" allUniqueName="[Tabla1].[% Aprob].[All]" dimensionUniqueName="[Tabla1]" displayFolder="" count="0" memberValueDatatype="5" unbalanced="0"/>
    <cacheHierarchy uniqueName="[Tabla1].[Ejecutado S/.]" caption="Ejecutado S/." attribute="1" defaultMemberUniqueName="[Tabla1].[Ejecutado S/.].[All]" allUniqueName="[Tabla1].[Ejecutado S/.].[All]" dimensionUniqueName="[Tabla1]" displayFolder="" count="0" memberValueDatatype="20" unbalanced="0"/>
    <cacheHierarchy uniqueName="[Tabla1].[% Ejec]" caption="% Ejec" attribute="1" defaultMemberUniqueName="[Tabla1].[% Ejec].[All]" allUniqueName="[Tabla1].[% Ejec].[All]" dimensionUniqueName="[Tabla1]" displayFolder="" count="0" memberValueDatatype="5" unbalanced="0"/>
    <cacheHierarchy uniqueName="[Tabla1].[Estado presupuesto]" caption="Estado presupuesto" attribute="1" defaultMemberUniqueName="[Tabla1].[Estado presupuesto].[All]" allUniqueName="[Tabla1].[Estado presupuesto].[All]" dimensionUniqueName="[Tabla1]" displayFolder="" count="2" memberValueDatatype="130" unbalanced="0">
      <fieldsUsage count="2">
        <fieldUsage x="-1"/>
        <fieldUsage x="1"/>
      </fieldsUsage>
    </cacheHierarchy>
    <cacheHierarchy uniqueName="[Tabla1].[Fecha aprobación]" caption="Fecha aprobación" attribute="1" time="1" defaultMemberUniqueName="[Tabla1].[Fecha aprobación].[All]" allUniqueName="[Tabla1].[Fecha aprobación].[All]" dimensionUniqueName="[Tabla1]" displayFolder="" count="0" memberValueDatatype="7" unbalanced="0"/>
    <cacheHierarchy uniqueName="[Tabla1].[mm.aa fch aprob]" caption="mm.aa fch aprob" attribute="1" time="1" defaultMemberUniqueName="[Tabla1].[mm.aa fch aprob].[All]" allUniqueName="[Tabla1].[mm.aa fch aprob].[All]" dimensionUniqueName="[Tabla1]" displayFolder="" count="0" memberValueDatatype="7" unbalanced="0"/>
    <cacheHierarchy uniqueName="[Tabla1].[Año Proy]" caption="Año Proy" attribute="1" defaultMemberUniqueName="[Tabla1].[Año Proy].[All]" allUniqueName="[Tabla1].[Año Proy].[All]" dimensionUniqueName="[Tabla1]" displayFolder="" count="2" memberValueDatatype="20" unbalanced="0">
      <fieldsUsage count="2">
        <fieldUsage x="-1"/>
        <fieldUsage x="2"/>
      </fieldsUsage>
    </cacheHierarchy>
    <cacheHierarchy uniqueName="[Tabla1].[Línea de negocio]" caption="Línea de negocio" attribute="1" defaultMemberUniqueName="[Tabla1].[Línea de negocio].[All]" allUniqueName="[Tabla1].[Línea de negocio].[All]" dimensionUniqueName="[Tabla1]" displayFolder="" count="0" memberValueDatatype="130" unbalanced="0"/>
    <cacheHierarchy uniqueName="[Tabla1].[País]" caption="País" attribute="1" defaultMemberUniqueName="[Tabla1].[País].[All]" allUniqueName="[Tabla1].[País].[All]" dimensionUniqueName="[Tabla1]" displayFolder="" count="0" memberValueDatatype="130" unbalanced="0"/>
    <cacheHierarchy uniqueName="[Tabla1].[Fecha aprobación (mes)]" caption="Fecha aprobación (mes)" attribute="1" defaultMemberUniqueName="[Tabla1].[Fecha aprobación (mes)].[All]" allUniqueName="[Tabla1].[Fecha aprobación (mes)].[All]" dimensionUniqueName="[Tabla1]" displayFolder="" count="0" memberValueDatatype="130" unbalanced="0"/>
    <cacheHierarchy uniqueName="[Tabla2].[Llave]" caption="Llave" attribute="1" defaultMemberUniqueName="[Tabla2].[Llave].[All]" allUniqueName="[Tabla2].[Llave].[All]" dimensionUniqueName="[Tabla2]" displayFolder="" count="0" memberValueDatatype="130" unbalanced="0"/>
    <cacheHierarchy uniqueName="[Tabla2].[ID]" caption="ID" attribute="1" defaultMemberUniqueName="[Tabla2].[ID].[All]" allUniqueName="[Tabla2].[ID].[All]" dimensionUniqueName="[Tabla2]" displayFolder="" count="0" memberValueDatatype="130" unbalanced="0"/>
    <cacheHierarchy uniqueName="[Tabla2].[Año Proy]" caption="Año Proy" attribute="1" defaultMemberUniqueName="[Tabla2].[Año Proy].[All]" allUniqueName="[Tabla2].[Año Proy].[All]" dimensionUniqueName="[Tabla2]" displayFolder="" count="0" memberValueDatatype="20" unbalanced="0"/>
    <cacheHierarchy uniqueName="[Tabla2].[Fecha]" caption="Fecha" attribute="1" time="1" defaultMemberUniqueName="[Tabla2].[Fecha].[All]" allUniqueName="[Tabla2].[Fecha].[All]" dimensionUniqueName="[Tabla2]" displayFolder="" count="0" memberValueDatatype="7" unbalanced="0"/>
    <cacheHierarchy uniqueName="[Tabla2].[Proveedor]" caption="Proveedor" attribute="1" defaultMemberUniqueName="[Tabla2].[Proveedor].[All]" allUniqueName="[Tabla2].[Proveedor].[All]" dimensionUniqueName="[Tabla2]" displayFolder="" count="0" memberValueDatatype="130" unbalanced="0"/>
    <cacheHierarchy uniqueName="[Tabla2].[Código]" caption="Código" attribute="1" defaultMemberUniqueName="[Tabla2].[Código].[All]" allUniqueName="[Tabla2].[Código].[All]" dimensionUniqueName="[Tabla2]" displayFolder="" count="0" memberValueDatatype="130" unbalanced="0"/>
    <cacheHierarchy uniqueName="[Tabla2].[Factura]" caption="Factura" attribute="1" defaultMemberUniqueName="[Tabla2].[Factura].[All]" allUniqueName="[Tabla2].[Factura].[All]" dimensionUniqueName="[Tabla2]" displayFolder="" count="0" memberValueDatatype="130" unbalanced="0"/>
    <cacheHierarchy uniqueName="[Tabla2].[Mes aprob]" caption="Mes aprob" attribute="1" time="1" defaultMemberUniqueName="[Tabla2].[Mes aprob].[All]" allUniqueName="[Tabla2].[Mes aprob].[All]" dimensionUniqueName="[Tabla2]" displayFolder="" count="0" memberValueDatatype="7" unbalanced="0"/>
    <cacheHierarchy uniqueName="[Tabla2].[OS]" caption="OS" attribute="1" defaultMemberUniqueName="[Tabla2].[OS].[All]" allUniqueName="[Tabla2].[OS].[All]" dimensionUniqueName="[Tabla2]" displayFolder="" count="0" memberValueDatatype="130" unbalanced="0"/>
    <cacheHierarchy uniqueName="[Tabla2].[Proyecto]" caption="Proyecto" attribute="1" defaultMemberUniqueName="[Tabla2].[Proyecto].[All]" allUniqueName="[Tabla2].[Proyecto].[All]" dimensionUniqueName="[Tabla2]" displayFolder="" count="0" memberValueDatatype="130" unbalanced="0"/>
    <cacheHierarchy uniqueName="[Tabla2].[# Cuota]" caption="# Cuota" attribute="1" defaultMemberUniqueName="[Tabla2].[# Cuota].[All]" allUniqueName="[Tabla2].[# Cuota].[All]" dimensionUniqueName="[Tabla2]" displayFolder="" count="0" memberValueDatatype="20" unbalanced="0"/>
    <cacheHierarchy uniqueName="[Tabla2].[Detalle cuota]" caption="Detalle cuota" attribute="1" defaultMemberUniqueName="[Tabla2].[Detalle cuota].[All]" allUniqueName="[Tabla2].[Detalle cuota].[All]" dimensionUniqueName="[Tabla2]" displayFolder="" count="0" memberValueDatatype="130" unbalanced="0"/>
    <cacheHierarchy uniqueName="[Tabla2].[Cuota]" caption="Cuota" attribute="1" defaultMemberUniqueName="[Tabla2].[Cuota].[All]" allUniqueName="[Tabla2].[Cuota].[All]" dimensionUniqueName="[Tabla2]" displayFolder="" count="0" memberValueDatatype="5" unbalanced="0"/>
    <cacheHierarchy uniqueName="[Tabla2].[Total cuotas]" caption="Total cuotas" attribute="1" defaultMemberUniqueName="[Tabla2].[Total cuotas].[All]" allUniqueName="[Tabla2].[Total cuotas].[All]" dimensionUniqueName="[Tabla2]" displayFolder="" count="0" memberValueDatatype="20" unbalanced="0"/>
    <cacheHierarchy uniqueName="[Tabla2].[Moneda]" caption="Moneda" attribute="1" defaultMemberUniqueName="[Tabla2].[Moneda].[All]" allUniqueName="[Tabla2].[Moneda].[All]" dimensionUniqueName="[Tabla2]" displayFolder="" count="0" memberValueDatatype="130" unbalanced="0"/>
    <cacheHierarchy uniqueName="[Tabla2].[Cuota S/.]" caption="Cuota S/." attribute="1" defaultMemberUniqueName="[Tabla2].[Cuota S/.].[All]" allUniqueName="[Tabla2].[Cuota S/.].[All]" dimensionUniqueName="[Tabla2]" displayFolder="" count="0" memberValueDatatype="5" unbalanced="0"/>
    <cacheHierarchy uniqueName="[Tabla2].[Cuenta]" caption="Cuenta" attribute="1" defaultMemberUniqueName="[Tabla2].[Cuenta].[All]" allUniqueName="[Tabla2].[Cuenta].[All]" dimensionUniqueName="[Tabla2]" displayFolder="" count="0" memberValueDatatype="130" unbalanced="0"/>
    <cacheHierarchy uniqueName="[Tabla2].[País]" caption="País" attribute="1" defaultMemberUniqueName="[Tabla2].[País].[All]" allUniqueName="[Tabla2].[País].[All]" dimensionUniqueName="[Tabla2]" displayFolder="" count="0" memberValueDatatype="130" unbalanced="0"/>
    <cacheHierarchy uniqueName="[Tabla2].[Área]" caption="Área" attribute="1" defaultMemberUniqueName="[Tabla2].[Área].[All]" allUniqueName="[Tabla2].[Área].[All]" dimensionUniqueName="[Tabla2]" displayFolder="" count="0" memberValueDatatype="130" unbalanced="0"/>
    <cacheHierarchy uniqueName="[Tabla2].[Estado]" caption="Estado" attribute="1" defaultMemberUniqueName="[Tabla2].[Estado].[All]" allUniqueName="[Tabla2].[Estado].[All]" dimensionUniqueName="[Tabla2]" displayFolder="" count="0" memberValueDatatype="130" unbalanced="0"/>
    <cacheHierarchy uniqueName="[Tabla2].[F Venc]" caption="F Venc" attribute="1" defaultMemberUniqueName="[Tabla2].[F Venc].[All]" allUniqueName="[Tabla2].[F Venc].[All]" dimensionUniqueName="[Tabla2]" displayFolder="" count="0" memberValueDatatype="130" unbalanced="0"/>
    <cacheHierarchy uniqueName="[Tabla2].[Fecha pago]" caption="Fecha pago" attribute="1" defaultMemberUniqueName="[Tabla2].[Fecha pago].[All]" allUniqueName="[Tabla2].[Fecha pago].[All]" dimensionUniqueName="[Tabla2]" displayFolder="" count="0" memberValueDatatype="130" unbalanced="0"/>
    <cacheHierarchy uniqueName="[Tabla2].[mm.aa]" caption="mm.aa" attribute="1" time="1" defaultMemberUniqueName="[Tabla2].[mm.aa].[All]" allUniqueName="[Tabla2].[mm.aa].[All]" dimensionUniqueName="[Tabla2]" displayFolder="" count="0" memberValueDatatype="7" unbalanced="0"/>
    <cacheHierarchy uniqueName="[Tabla2].[Sistema]" caption="Sistema" attribute="1" defaultMemberUniqueName="[Tabla2].[Sistema].[All]" allUniqueName="[Tabla2].[Sistema].[All]" dimensionUniqueName="[Tabla2]" displayFolder="" count="0" memberValueDatatype="130" unbalanced="0"/>
    <cacheHierarchy uniqueName="[Tabla2].[Fecha (año)]" caption="Fecha (año)" attribute="1" defaultMemberUniqueName="[Tabla2].[Fecha (año)].[All]" allUniqueName="[Tabla2].[Fecha (año)].[All]" dimensionUniqueName="[Tabla2]" displayFolder="" count="0" memberValueDatatype="130" unbalanced="0"/>
    <cacheHierarchy uniqueName="[Tabla2].[Fecha (trimestre)]" caption="Fecha (trimestre)" attribute="1" defaultMemberUniqueName="[Tabla2].[Fecha (trimestre)].[All]" allUniqueName="[Tabla2].[Fecha (trimestre)].[All]" dimensionUniqueName="[Tabla2]" displayFolder="" count="0" memberValueDatatype="130" unbalanced="0"/>
    <cacheHierarchy uniqueName="[Tabla2].[Fecha (mes)]" caption="Fecha (mes)" attribute="1" defaultMemberUniqueName="[Tabla2].[Fecha (mes)].[All]" allUniqueName="[Tabla2].[Fecha (mes)].[All]" dimensionUniqueName="[Tabla2]" displayFolder="" count="0" memberValueDatatype="130" unbalanced="0"/>
    <cacheHierarchy uniqueName="[Tabla2].[mm.aa (año)]" caption="mm.aa (año)" attribute="1" defaultMemberUniqueName="[Tabla2].[mm.aa (año)].[All]" allUniqueName="[Tabla2].[mm.aa (año)].[All]" dimensionUniqueName="[Tabla2]" displayFolder="" count="0" memberValueDatatype="130" unbalanced="0"/>
    <cacheHierarchy uniqueName="[Tabla2].[mm.aa (trimestre)]" caption="mm.aa (trimestre)" attribute="1" defaultMemberUniqueName="[Tabla2].[mm.aa (trimestre)].[All]" allUniqueName="[Tabla2].[mm.aa (trimestre)].[All]" dimensionUniqueName="[Tabla2]" displayFolder="" count="0" memberValueDatatype="130" unbalanced="0"/>
    <cacheHierarchy uniqueName="[Tabla2].[mm.aa (mes)]" caption="mm.aa (mes)" attribute="1" defaultMemberUniqueName="[Tabla2].[mm.aa (mes)].[All]" allUniqueName="[Tabla2].[mm.aa (mes)].[All]" dimensionUniqueName="[Tabla2]" displayFolder="" count="0" memberValueDatatype="130" unbalanced="0"/>
    <cacheHierarchy uniqueName="[Tabla2].[Mes aprob (año)]" caption="Mes aprob (año)" attribute="1" defaultMemberUniqueName="[Tabla2].[Mes aprob (año)].[All]" allUniqueName="[Tabla2].[Mes aprob (año)].[All]" dimensionUniqueName="[Tabla2]" displayFolder="" count="0" memberValueDatatype="130" unbalanced="0"/>
    <cacheHierarchy uniqueName="[Tabla2].[Mes aprob (trimestre)]" caption="Mes aprob (trimestre)" attribute="1" defaultMemberUniqueName="[Tabla2].[Mes aprob (trimestre)].[All]" allUniqueName="[Tabla2].[Mes aprob (trimestre)].[All]" dimensionUniqueName="[Tabla2]" displayFolder="" count="0" memberValueDatatype="130" unbalanced="0"/>
    <cacheHierarchy uniqueName="[Tabla2].[Mes aprob (mes)]" caption="Mes aprob (mes)" attribute="1" defaultMemberUniqueName="[Tabla2].[Mes aprob (mes)].[All]" allUniqueName="[Tabla2].[Mes aprob (mes)].[All]" dimensionUniqueName="[Tabla2]" displayFolder="" count="0" memberValueDatatype="130" unbalanced="0"/>
    <cacheHierarchy uniqueName="[Tabla1].[Fecha aprobación (índice de meses)]" caption="Fecha aprobación (índice de meses)" attribute="1" defaultMemberUniqueName="[Tabla1].[Fecha aprobación (índice de meses)].[All]" allUniqueName="[Tabla1].[Fecha aprobación (índice de meses)].[All]" dimensionUniqueName="[Tabla1]" displayFolder="" count="0" memberValueDatatype="20" unbalanced="0" hidden="1"/>
    <cacheHierarchy uniqueName="[Tabla2].[Fecha (índice de meses)]" caption="Fecha (índice de meses)" attribute="1" defaultMemberUniqueName="[Tabla2].[Fecha (índice de meses)].[All]" allUniqueName="[Tabla2].[Fecha (índice de meses)].[All]" dimensionUniqueName="[Tabla2]" displayFolder="" count="0" memberValueDatatype="20" unbalanced="0" hidden="1"/>
    <cacheHierarchy uniqueName="[Tabla2].[Mes aprob (índice de meses)]" caption="Mes aprob (índice de meses)" attribute="1" defaultMemberUniqueName="[Tabla2].[Mes aprob (índice de meses)].[All]" allUniqueName="[Tabla2].[Mes aprob (índice de meses)].[All]" dimensionUniqueName="[Tabla2]" displayFolder="" count="0" memberValueDatatype="20" unbalanced="0" hidden="1"/>
    <cacheHierarchy uniqueName="[Tabla2].[mm.aa (índice de meses)]" caption="mm.aa (índice de meses)" attribute="1" defaultMemberUniqueName="[Tabla2].[mm.aa (índice de meses)].[All]" allUniqueName="[Tabla2].[mm.aa (índice de meses)].[All]" dimensionUniqueName="[Tabla2]" displayFolder="" count="0" memberValueDatatype="20" unbalanced="0" hidden="1"/>
    <cacheHierarchy uniqueName="[Measures].[__XL_Count Tabla2]" caption="__XL_Count Tabla2" measure="1" displayFolder="" measureGroup="Tabla2" count="0" hidden="1"/>
    <cacheHierarchy uniqueName="[Measures].[__XL_Count Tabla1]" caption="__XL_Count Tabla1" measure="1" displayFolder="" measureGroup="Tabla1" count="0" hidden="1"/>
    <cacheHierarchy uniqueName="[Measures].[__No measures defined]" caption="__No measures defined" measure="1" displayFolder="" count="0" hidden="1"/>
    <cacheHierarchy uniqueName="[Measures].[Suma de Año Proy]" caption="Suma de Año Proy" measure="1" displayFolder="" measureGroup="Tabla2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Recuento de Proyecto]" caption="Recuento de Proyecto" measure="1" displayFolder="" measureGroup="Tabla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Recuento de SG5]" caption="Recuento de SG5" measure="1" displayFolder="" measureGroup="Tabla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Recuento de CRM]" caption="Recuento de CRM" measure="1" displayFolder="" measureGroup="Tabla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Recuento de Exactus]" caption="Recuento de Exactus" measure="1" displayFolder="" measureGroup="Tabla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Recuento de Web]" caption="Recuento de Web" measure="1" displayFolder="" measureGroup="Tabla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Recuento de Estado proyecto]" caption="Recuento de Estado proyecto" measure="1" displayFolder="" measureGroup="Tabla1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Ejecutado S/.]" caption="Suma de Ejecutado S/." measure="1" displayFolder="" measureGroup="Tabla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Aprobado S/.]" caption="Suma de Aprobado S/." measure="1" displayFolder="" measureGroup="Tabla1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Fecha aprobación]" caption="Recuento de Fecha aprobación" measure="1" displayFolder="" measureGroup="Tabla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a de Presupuesto S/.]" caption="Suma de Presupuesto S/." measure="1" displayFolder="" measureGroup="Tabla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Cuota]" caption="Suma de Cuota" measure="1" displayFolder="" measureGroup="Tabla2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de Año Proy 2]" caption="Suma de Año Proy 2" measure="1" displayFolder="" measureGroup="Tabla1" count="0" hidden="1"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a de % Aprob]" caption="Suma de % Aprob" measure="1" displayFolder="" measureGroup="Tabla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% Ejec]" caption="Suma de % Ejec" measure="1" displayFolder="" measureGroup="Tabla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de Cuota S/.]" caption="Suma de Cuota S/." measure="1" displayFolder="" measureGroup="Tabla2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</cacheHierarchies>
  <kpis count="0"/>
  <dimensions count="3">
    <dimension measure="1" name="Measures" uniqueName="[Measures]" caption="Measures"/>
    <dimension name="Tabla1" uniqueName="[Tabla1]" caption="Tabla1"/>
    <dimension name="Tabla2" uniqueName="[Tabla2]" caption="Tabla2"/>
  </dimensions>
  <measureGroups count="2">
    <measureGroup name="Tabla1" caption="Tabla1"/>
    <measureGroup name="Tabla2" caption="Tabla2"/>
  </measureGroups>
  <maps count="3">
    <map measureGroup="0" dimension="1"/>
    <map measureGroup="1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">
  <r>
    <s v="P-1"/>
    <s v="P202301"/>
    <s v="Mejoras planillas"/>
    <m/>
    <s v="GDH"/>
    <s v="GDH"/>
    <m/>
    <s v="XL"/>
    <n v="8"/>
    <n v="8"/>
    <s v="N Ramos"/>
    <s v="L Rojas"/>
    <s v="En proceso"/>
    <s v="Kunaq"/>
    <s v="x"/>
    <m/>
    <m/>
    <m/>
    <m/>
    <n v="23000"/>
    <n v="24500"/>
    <n v="9.5703125E-2"/>
    <n v="15925"/>
    <n v="6.2207031250000003E-2"/>
    <s v="Aprobado"/>
    <d v="2023-12-01T00:00:00"/>
    <x v="0"/>
    <x v="0"/>
    <s v="Camposanto"/>
    <s v="Perú"/>
  </r>
  <r>
    <s v="P-2"/>
    <s v="P202302"/>
    <s v="Automatización vacaciones"/>
    <m/>
    <s v="GDH"/>
    <s v="GDH"/>
    <m/>
    <s v="L"/>
    <n v="4"/>
    <n v="4"/>
    <s v="N Ramos"/>
    <s v="L Rojas"/>
    <s v="Finalizado"/>
    <s v="Kunaq"/>
    <s v="x"/>
    <m/>
    <m/>
    <s v="x"/>
    <m/>
    <n v="29000"/>
    <n v="56100"/>
    <n v="0.21914062500000001"/>
    <n v="51100"/>
    <n v="0.19960937500000001"/>
    <s v="Aprobado"/>
    <d v="2023-03-10T00:00:00"/>
    <x v="1"/>
    <x v="0"/>
    <s v="Camposanto"/>
    <s v="Perú"/>
  </r>
  <r>
    <s v="P-3"/>
    <s v="P202303"/>
    <s v="Asistencias"/>
    <m/>
    <s v="GDH"/>
    <s v="GDH"/>
    <m/>
    <s v="M"/>
    <n v="2"/>
    <n v="2"/>
    <s v="N Ramos"/>
    <s v="L Rojas"/>
    <s v="Finalizado"/>
    <s v="Kunaq"/>
    <s v="x"/>
    <m/>
    <m/>
    <m/>
    <m/>
    <n v="6000"/>
    <n v="6200"/>
    <n v="2.4218750000000001E-2"/>
    <n v="6200"/>
    <n v="2.4218750000000001E-2"/>
    <s v="Aprobado"/>
    <d v="2023-05-19T00:00:00"/>
    <x v="2"/>
    <x v="0"/>
    <s v="Camposanto"/>
    <s v="Perú"/>
  </r>
  <r>
    <s v="P-4"/>
    <s v="P202304"/>
    <s v="Contratos"/>
    <m/>
    <s v="GDH"/>
    <s v="GDH"/>
    <m/>
    <s v="M"/>
    <n v="2"/>
    <n v="2"/>
    <s v="N Ramos"/>
    <s v="L Rojas"/>
    <s v="Finalizado"/>
    <s v="Kunaq"/>
    <s v="x"/>
    <m/>
    <m/>
    <m/>
    <m/>
    <n v="2000"/>
    <n v="11080"/>
    <n v="4.328125E-2"/>
    <n v="11080"/>
    <n v="4.328125E-2"/>
    <s v="Aprobado"/>
    <d v="2023-05-19T00:00:00"/>
    <x v="2"/>
    <x v="0"/>
    <s v="Camposanto"/>
    <s v="Perú"/>
  </r>
  <r>
    <s v="P-5"/>
    <s v="P202305"/>
    <s v="Cambio a las NIIF"/>
    <m/>
    <s v="Adm&amp;Fin"/>
    <s v="Contabilidad"/>
    <m/>
    <s v="L"/>
    <n v="4"/>
    <n v="2"/>
    <s v="M Torres"/>
    <s v="M Torres"/>
    <s v="En proceso"/>
    <s v="Kunaq"/>
    <s v="x"/>
    <m/>
    <s v="x"/>
    <m/>
    <m/>
    <n v="20000"/>
    <n v="29000"/>
    <n v="0.11328125"/>
    <n v="16705"/>
    <n v="6.5253906249999993E-2"/>
    <s v="Aprobado"/>
    <d v="2023-10-30T00:00:00"/>
    <x v="3"/>
    <x v="0"/>
    <s v="Camposanto"/>
    <s v="Perú"/>
  </r>
  <r>
    <s v="P-6"/>
    <s v="P202306"/>
    <s v="Servicios a través de la web - R&amp;C"/>
    <s v="Refinanciamientos, pasarela de pagos, cronograma"/>
    <s v="Operaciones"/>
    <s v="R&amp;C"/>
    <m/>
    <s v="M"/>
    <n v="2"/>
    <n v="2"/>
    <s v="J Chavez"/>
    <s v="L Rojas"/>
    <s v="Sin iniciar"/>
    <s v="Kunaq"/>
    <s v="x"/>
    <m/>
    <m/>
    <s v="x"/>
    <m/>
    <n v="22500"/>
    <n v="0"/>
    <n v="0"/>
    <n v="0"/>
    <n v="0"/>
    <s v="Pendiente"/>
    <m/>
    <x v="4"/>
    <x v="0"/>
    <s v="Camposanto"/>
    <s v="Perú"/>
  </r>
  <r>
    <s v="P-7"/>
    <s v="P202307"/>
    <s v="Servicios a través de la web - SAC"/>
    <s v="Certificados de uso, constancia de inhumación, comprobante de pago"/>
    <s v="SAC&amp;Parque"/>
    <s v="SAC"/>
    <m/>
    <s v="L"/>
    <n v="4"/>
    <n v="4"/>
    <s v="Deisy"/>
    <s v="L Rojas"/>
    <s v="Finalizado"/>
    <s v="Kunaq"/>
    <s v="x"/>
    <m/>
    <m/>
    <s v="x"/>
    <m/>
    <n v="22500"/>
    <n v="32840"/>
    <n v="0.12828125000000001"/>
    <n v="32840"/>
    <n v="0.12828125000000001"/>
    <s v="Aprobado"/>
    <d v="2023-08-01T00:00:00"/>
    <x v="5"/>
    <x v="0"/>
    <s v="Camposanto"/>
    <s v="Perú"/>
  </r>
  <r>
    <s v="P-8"/>
    <s v="P202308"/>
    <s v="Mejorar proceso de diferencia de TC"/>
    <m/>
    <s v="Adm&amp;Fin"/>
    <s v="Contabilidad"/>
    <m/>
    <s v="S"/>
    <n v="1"/>
    <n v="0"/>
    <s v="M Torres"/>
    <s v="L Rojas"/>
    <s v="Finalizado"/>
    <s v="Kunaq"/>
    <m/>
    <m/>
    <s v="x"/>
    <m/>
    <m/>
    <n v="4000"/>
    <n v="0"/>
    <n v="0"/>
    <n v="0"/>
    <n v="0"/>
    <s v="Pendiente"/>
    <m/>
    <x v="4"/>
    <x v="0"/>
    <s v="Camposanto"/>
    <s v="Perú"/>
  </r>
  <r>
    <s v="P-9"/>
    <s v="P202309"/>
    <s v="Nuevos canales de pago"/>
    <s v="Apertura de nuevos canales tradicionales y digitales"/>
    <s v="Operaciones"/>
    <s v="R&amp;C"/>
    <m/>
    <s v="M"/>
    <n v="2"/>
    <n v="1"/>
    <s v="J Chavez"/>
    <s v="J Chavez"/>
    <s v="Finalizado"/>
    <s v="Kunaq"/>
    <s v="x"/>
    <m/>
    <m/>
    <s v="x"/>
    <m/>
    <n v="20000"/>
    <n v="2420"/>
    <n v="9.4531249999999997E-3"/>
    <n v="2420"/>
    <n v="9.4531249999999997E-3"/>
    <s v="Aprobado"/>
    <d v="2023-11-01T00:00:00"/>
    <x v="6"/>
    <x v="0"/>
    <s v="Camposanto"/>
    <s v="Perú"/>
  </r>
  <r>
    <s v="P-10"/>
    <s v="P202310"/>
    <s v="Tratamiento de datos"/>
    <s v="Cliente acepte política de tratamiento de datos personales desde el inicio (regulatorio)"/>
    <s v="Comercial"/>
    <s v="Comercial"/>
    <s v="Emisión"/>
    <s v="M"/>
    <n v="2"/>
    <n v="2"/>
    <s v="Andre"/>
    <s v="L Rojas"/>
    <s v="En proceso"/>
    <s v="Kunaq"/>
    <s v="x"/>
    <m/>
    <m/>
    <m/>
    <m/>
    <n v="13000"/>
    <n v="11100"/>
    <n v="4.3359374999999999E-2"/>
    <n v="5550"/>
    <n v="2.1679687499999999E-2"/>
    <s v="Aprobado"/>
    <d v="2023-11-01T00:00:00"/>
    <x v="6"/>
    <x v="0"/>
    <s v="Camposanto"/>
    <s v="Perú"/>
  </r>
  <r>
    <s v="P-11"/>
    <s v="P202311"/>
    <s v="Log cambios en primera y log consultas"/>
    <m/>
    <s v="Comercial"/>
    <s v="Comercial"/>
    <m/>
    <s v="S"/>
    <n v="1"/>
    <n v="1"/>
    <s v="Andre"/>
    <s v="L Rojas"/>
    <s v="Finalizado"/>
    <s v="Avanza"/>
    <m/>
    <s v="x"/>
    <m/>
    <m/>
    <m/>
    <n v="2000"/>
    <n v="1200"/>
    <n v="4.6874999999999998E-3"/>
    <n v="1200"/>
    <n v="4.6874999999999998E-3"/>
    <s v="Aprobado"/>
    <d v="2023-02-03T00:00:00"/>
    <x v="7"/>
    <x v="0"/>
    <s v="Camposanto"/>
    <s v="Perú"/>
  </r>
  <r>
    <s v="P-12"/>
    <s v="P202312"/>
    <s v="Contrato digital"/>
    <m/>
    <s v="Operaciones"/>
    <s v="Emisión"/>
    <m/>
    <s v="M"/>
    <n v="2"/>
    <n v="2"/>
    <s v="T Llacza"/>
    <s v="L Rojas"/>
    <s v="En proceso"/>
    <s v="Kunaq"/>
    <s v="x"/>
    <m/>
    <m/>
    <m/>
    <s v="x"/>
    <n v="10000"/>
    <n v="32510"/>
    <n v="0.12699218749999999"/>
    <n v="17535"/>
    <n v="6.8496093750000001E-2"/>
    <s v="Aprobado"/>
    <d v="2023-11-01T00:00:00"/>
    <x v="6"/>
    <x v="0"/>
    <s v="Camposanto"/>
    <s v="Perú"/>
  </r>
  <r>
    <s v="P-13"/>
    <s v="P202313"/>
    <s v="Modificación en la distribución de espacios"/>
    <m/>
    <s v="Operaciones"/>
    <s v="Emisión"/>
    <m/>
    <s v="M"/>
    <n v="2"/>
    <n v="2"/>
    <s v="T Llacza"/>
    <s v="T Llacza"/>
    <s v="En proceso"/>
    <s v="Kunaq"/>
    <s v="x"/>
    <m/>
    <m/>
    <m/>
    <m/>
    <n v="12000"/>
    <n v="11200"/>
    <n v="4.3749999999999997E-2"/>
    <n v="5600"/>
    <n v="2.1874999999999999E-2"/>
    <s v="Aprobado"/>
    <d v="2023-10-01T00:00:00"/>
    <x v="3"/>
    <x v="0"/>
    <s v="Camposanto"/>
    <s v="Perú"/>
  </r>
  <r>
    <s v="P-14"/>
    <s v="P202314"/>
    <s v="Practiplan 2 - Nueva forma de pago"/>
    <m/>
    <s v="Comercial"/>
    <s v="Comercial"/>
    <m/>
    <s v="M"/>
    <n v="2"/>
    <n v="2"/>
    <s v="Andre"/>
    <s v="L Rojas"/>
    <s v="En proceso"/>
    <s v="Kunaq"/>
    <s v="x"/>
    <s v="x"/>
    <m/>
    <m/>
    <m/>
    <n v="8000"/>
    <n v="13910"/>
    <n v="5.4335937500000001E-2"/>
    <n v="13910"/>
    <n v="5.4335937500000001E-2"/>
    <s v="Aprobado"/>
    <d v="2023-03-27T00:00:00"/>
    <x v="1"/>
    <x v="0"/>
    <s v="Camposanto"/>
    <s v="Perú"/>
  </r>
  <r>
    <s v="P-15"/>
    <s v="P202315"/>
    <s v="Nueva sede Arequipa"/>
    <m/>
    <s v="Operaciones"/>
    <s v="Proyectos"/>
    <m/>
    <s v="M"/>
    <n v="2"/>
    <n v="2"/>
    <s v="L Rojas"/>
    <s v="L Rojas"/>
    <s v="En proceso"/>
    <s v="Kunaq"/>
    <s v="x"/>
    <s v="x"/>
    <s v="x"/>
    <s v="x"/>
    <m/>
    <n v="5000"/>
    <n v="5910"/>
    <n v="2.3085937500000001E-2"/>
    <n v="5910"/>
    <n v="2.3085937500000001E-2"/>
    <s v="Aprobado"/>
    <d v="2023-11-01T00:00:00"/>
    <x v="6"/>
    <x v="0"/>
    <s v="Camposanto"/>
    <s v="Perú"/>
  </r>
  <r>
    <s v="P-16"/>
    <s v="P202316"/>
    <s v="Validación CUOI - 1° parte (Macros)"/>
    <m/>
    <s v="Operaciones"/>
    <s v="Emisión"/>
    <s v="Tesorería/SAC"/>
    <s v="L"/>
    <n v="4"/>
    <n v="0"/>
    <s v="T Llacza"/>
    <s v="T Llacza"/>
    <s v="Finalizado"/>
    <s v="Kunaq"/>
    <s v="x"/>
    <m/>
    <m/>
    <m/>
    <m/>
    <n v="12000"/>
    <n v="0"/>
    <n v="0"/>
    <n v="0"/>
    <n v="0"/>
    <s v="Pendiente"/>
    <m/>
    <x v="4"/>
    <x v="0"/>
    <s v="Camposanto"/>
    <s v="Perú"/>
  </r>
  <r>
    <s v="P-17"/>
    <s v="P202317"/>
    <s v="Ubicaina"/>
    <m/>
    <s v="Comercial"/>
    <s v="Comercial"/>
    <m/>
    <s v="L"/>
    <n v="4"/>
    <n v="4"/>
    <s v="Andre"/>
    <s v="L Rojas"/>
    <s v="En proceso"/>
    <s v="Kunaq"/>
    <s v="x"/>
    <m/>
    <m/>
    <m/>
    <m/>
    <n v="28000"/>
    <n v="23000"/>
    <n v="8.984375E-2"/>
    <n v="6900"/>
    <n v="2.6953125000000001E-2"/>
    <s v="Aprobado"/>
    <d v="2023-12-01T00:00:00"/>
    <x v="0"/>
    <x v="0"/>
    <s v="Camposanto"/>
    <s v="Perú"/>
  </r>
  <r>
    <s v="P-18"/>
    <s v="P202318"/>
    <s v="Reporte detalle pedidos de almacén"/>
    <m/>
    <s v="Adm&amp;Fin"/>
    <s v="Logistica"/>
    <m/>
    <s v="S"/>
    <n v="1"/>
    <n v="1"/>
    <s v="Yadira"/>
    <s v="L Rojas"/>
    <s v="Finalizado"/>
    <s v="BCTS"/>
    <m/>
    <m/>
    <s v="x"/>
    <m/>
    <m/>
    <n v="5000"/>
    <n v="2075"/>
    <n v="8.1054687500000007E-3"/>
    <n v="2075"/>
    <n v="8.1054687500000007E-3"/>
    <s v="Aprobado"/>
    <d v="2023-04-24T00:00:00"/>
    <x v="8"/>
    <x v="0"/>
    <s v="Camposanto"/>
    <s v="Perú"/>
  </r>
  <r>
    <s v="P-19"/>
    <s v="P202319"/>
    <s v="Reporte de moras"/>
    <m/>
    <s v="Operaciones"/>
    <s v="R&amp;C"/>
    <m/>
    <s v="S"/>
    <n v="1"/>
    <n v="1"/>
    <s v="J Chavez"/>
    <s v="L Rojas"/>
    <s v="Finalizado"/>
    <s v="Kunaq"/>
    <s v="x"/>
    <m/>
    <m/>
    <m/>
    <m/>
    <n v="5000"/>
    <n v="2420"/>
    <n v="9.4531249999999997E-3"/>
    <n v="2420"/>
    <n v="9.4531249999999997E-3"/>
    <s v="Aprobado"/>
    <d v="2023-03-16T00:00:00"/>
    <x v="1"/>
    <x v="0"/>
    <s v="Camposanto"/>
    <s v="Perú"/>
  </r>
  <r>
    <s v="P-20"/>
    <s v="P202320"/>
    <s v="Bloqueo del CRM por vacaciones"/>
    <m/>
    <s v="Comercial"/>
    <s v="Comercial"/>
    <s v="GDH"/>
    <s v="S"/>
    <n v="1"/>
    <n v="1"/>
    <s v="Andre"/>
    <s v="L Rojas"/>
    <s v="Finalizado"/>
    <s v="Kunaq"/>
    <m/>
    <s v="x"/>
    <m/>
    <m/>
    <m/>
    <n v="7000"/>
    <n v="1780"/>
    <n v="6.9531250000000001E-3"/>
    <n v="1780"/>
    <n v="6.9531250000000001E-3"/>
    <s v="Aprobado"/>
    <d v="2023-01-01T00:00:00"/>
    <x v="9"/>
    <x v="0"/>
    <s v="Camposanto"/>
    <s v="Perú"/>
  </r>
  <r>
    <s v="P-21"/>
    <s v="P202401"/>
    <s v="Modificación de envío de asientos"/>
    <m/>
    <s v="Adm&amp;Fin"/>
    <m/>
    <m/>
    <s v="M"/>
    <n v="2"/>
    <n v="2"/>
    <s v="M Torres"/>
    <s v="L Rojas"/>
    <s v="Sin iniciar"/>
    <s v="Kunaq"/>
    <s v="x"/>
    <m/>
    <m/>
    <m/>
    <m/>
    <n v="15000"/>
    <n v="0"/>
    <n v="0"/>
    <n v="0"/>
    <n v="0"/>
    <s v="Pendiente"/>
    <m/>
    <x v="4"/>
    <x v="1"/>
    <s v="Camposanto"/>
    <s v="Perú"/>
  </r>
  <r>
    <s v="P-22"/>
    <s v="P202402"/>
    <s v="Mejora del proceso de cancelaciones"/>
    <m/>
    <s v="Adm&amp;Fin"/>
    <m/>
    <m/>
    <s v="M"/>
    <n v="2"/>
    <n v="2"/>
    <m/>
    <s v="L Rojas"/>
    <s v="Sin iniciar"/>
    <s v="Kunaq"/>
    <s v="x"/>
    <m/>
    <m/>
    <m/>
    <m/>
    <n v="20000"/>
    <n v="0"/>
    <n v="0"/>
    <n v="0"/>
    <n v="0"/>
    <s v="Pendiente"/>
    <m/>
    <x v="4"/>
    <x v="1"/>
    <s v="Camposanto"/>
    <s v="Perú"/>
  </r>
  <r>
    <s v="P-23"/>
    <s v="P202403"/>
    <s v="Elaboración de notas de los EEFF"/>
    <m/>
    <s v="Adm&amp;Fin"/>
    <m/>
    <m/>
    <s v="M"/>
    <n v="2"/>
    <n v="2"/>
    <s v="M Torres"/>
    <s v="L Rojas"/>
    <s v="Sin iniciar"/>
    <s v="BCTS"/>
    <m/>
    <m/>
    <s v="x"/>
    <m/>
    <m/>
    <n v="25000"/>
    <n v="0"/>
    <n v="0"/>
    <n v="0"/>
    <n v="0"/>
    <s v="Pendiente"/>
    <m/>
    <x v="4"/>
    <x v="1"/>
    <s v="Camposanto"/>
    <s v="Perú"/>
  </r>
  <r>
    <s v="P-24"/>
    <s v="P202404"/>
    <s v="Control de obligaciones financieras"/>
    <m/>
    <s v="Adm&amp;Fin"/>
    <m/>
    <m/>
    <s v="M"/>
    <n v="2"/>
    <n v="2"/>
    <s v="M Torres"/>
    <s v="L Rojas"/>
    <s v="Sin iniciar"/>
    <s v="BCTS"/>
    <m/>
    <m/>
    <s v="x"/>
    <m/>
    <m/>
    <n v="20000"/>
    <n v="0"/>
    <n v="0"/>
    <n v="0"/>
    <n v="0"/>
    <s v="Pendiente"/>
    <m/>
    <x v="4"/>
    <x v="1"/>
    <s v="Camposanto"/>
    <s v="Perú"/>
  </r>
  <r>
    <s v="P-25"/>
    <s v="P202405"/>
    <s v="Mejora pago a proveedores"/>
    <m/>
    <s v="Adm&amp;Fin"/>
    <m/>
    <m/>
    <s v="M"/>
    <n v="2"/>
    <n v="2"/>
    <s v="M Torres"/>
    <s v="L Rojas"/>
    <s v="Sin iniciar"/>
    <s v="BCTS"/>
    <m/>
    <m/>
    <s v="x"/>
    <m/>
    <m/>
    <n v="30000"/>
    <n v="0"/>
    <n v="0"/>
    <n v="0"/>
    <n v="0"/>
    <s v="Pendiente"/>
    <m/>
    <x v="4"/>
    <x v="1"/>
    <s v="Camposanto"/>
    <s v="Perú"/>
  </r>
  <r>
    <s v="P-26"/>
    <s v="P202406"/>
    <s v="Separación de espacios"/>
    <m/>
    <s v="Comercial"/>
    <m/>
    <m/>
    <s v="XL"/>
    <n v="6"/>
    <n v="6"/>
    <m/>
    <s v="L Rojas"/>
    <s v="Sin iniciar"/>
    <s v="Kunaq"/>
    <s v="x"/>
    <s v="x"/>
    <s v="x"/>
    <s v="x"/>
    <s v="x"/>
    <n v="35000"/>
    <n v="0"/>
    <n v="0"/>
    <n v="0"/>
    <n v="0"/>
    <s v="Pendiente"/>
    <m/>
    <x v="4"/>
    <x v="1"/>
    <s v="Camposanto"/>
    <s v="Perú"/>
  </r>
  <r>
    <s v="P-27"/>
    <s v="P202407"/>
    <s v="Automatización de asistencia"/>
    <m/>
    <s v="GDH"/>
    <m/>
    <m/>
    <s v="XL"/>
    <n v="6"/>
    <n v="6"/>
    <s v="N Ramos"/>
    <s v="L Rojas"/>
    <s v="Sin iniciar"/>
    <s v="Kunaq"/>
    <s v="x"/>
    <m/>
    <m/>
    <m/>
    <s v="x"/>
    <n v="25000"/>
    <n v="0"/>
    <n v="0"/>
    <n v="0"/>
    <n v="0"/>
    <s v="Pendiente"/>
    <m/>
    <x v="4"/>
    <x v="1"/>
    <s v="Camposanto"/>
    <s v="Perú"/>
  </r>
  <r>
    <s v="P-28"/>
    <s v="P202408"/>
    <s v="Credimuya"/>
    <m/>
    <s v="Operaciones"/>
    <m/>
    <m/>
    <s v="L"/>
    <n v="4"/>
    <n v="4"/>
    <s v="JCB"/>
    <s v="L Rojas"/>
    <s v="Sin iniciar"/>
    <s v="Kunaq"/>
    <m/>
    <m/>
    <m/>
    <m/>
    <s v="x"/>
    <n v="20000"/>
    <n v="0"/>
    <n v="0"/>
    <n v="0"/>
    <n v="0"/>
    <s v="Pendiente"/>
    <m/>
    <x v="4"/>
    <x v="1"/>
    <s v="Camposanto"/>
    <s v="Perú"/>
  </r>
  <r>
    <s v="P-29"/>
    <s v="P202409"/>
    <s v="Búsqueda fallecido cliente"/>
    <m/>
    <s v="SAC&amp;Parque"/>
    <m/>
    <m/>
    <s v="M"/>
    <n v="2"/>
    <n v="2"/>
    <m/>
    <s v="L Rojas"/>
    <s v="Sin iniciar"/>
    <s v="EXE"/>
    <m/>
    <m/>
    <m/>
    <s v="x"/>
    <m/>
    <n v="15000"/>
    <n v="0"/>
    <n v="0"/>
    <n v="0"/>
    <n v="0"/>
    <s v="Pendiente"/>
    <m/>
    <x v="4"/>
    <x v="1"/>
    <s v="Camposanto"/>
    <s v="Perú"/>
  </r>
  <r>
    <s v="P-30"/>
    <s v="P202410"/>
    <s v="SAC centralizado"/>
    <m/>
    <s v="SAC&amp;Parque"/>
    <m/>
    <m/>
    <s v="L"/>
    <n v="4"/>
    <n v="4"/>
    <m/>
    <s v="L Rojas"/>
    <s v="Sin iniciar"/>
    <s v="Kunaq"/>
    <s v="x"/>
    <m/>
    <m/>
    <m/>
    <s v="x"/>
    <n v="15000"/>
    <n v="0"/>
    <n v="0"/>
    <n v="0"/>
    <n v="0"/>
    <s v="Pendiente"/>
    <m/>
    <x v="4"/>
    <x v="1"/>
    <s v="Camposanto"/>
    <s v="Perú"/>
  </r>
  <r>
    <s v="P-31"/>
    <s v="P202411"/>
    <s v="Visor"/>
    <m/>
    <s v="SAC&amp;Parque"/>
    <m/>
    <m/>
    <s v="L"/>
    <n v="4"/>
    <n v="2"/>
    <s v="T Llacza"/>
    <s v="L Rojas"/>
    <s v="Sin iniciar"/>
    <s v="?"/>
    <m/>
    <m/>
    <m/>
    <m/>
    <s v="x"/>
    <n v="20000"/>
    <n v="0"/>
    <n v="0"/>
    <n v="0"/>
    <n v="0"/>
    <s v="Pendiente"/>
    <m/>
    <x v="4"/>
    <x v="1"/>
    <s v="Camposanto"/>
    <s v="Perú"/>
  </r>
  <r>
    <s v="P-32"/>
    <s v="P202412"/>
    <s v="Suspiro"/>
    <m/>
    <s v="Comercial"/>
    <m/>
    <m/>
    <s v="M"/>
    <n v="2"/>
    <n v="2"/>
    <s v="Andre"/>
    <s v="L Rojas"/>
    <s v="En proceso"/>
    <s v="Kunaq"/>
    <m/>
    <m/>
    <m/>
    <m/>
    <m/>
    <n v="10000"/>
    <n v="7640"/>
    <n v="3.0401910067648228E-2"/>
    <n v="0"/>
    <n v="0"/>
    <s v="Aprobado"/>
    <d v="2024-06-01T00:00:00"/>
    <x v="10"/>
    <x v="1"/>
    <s v="Camposanto"/>
    <s v="Perú"/>
  </r>
  <r>
    <s v="P-33"/>
    <s v="P202413"/>
    <s v="Robustecimiento de contraseña"/>
    <m/>
    <s v="Operaciones"/>
    <m/>
    <m/>
    <m/>
    <n v="0"/>
    <m/>
    <m/>
    <s v="L Rojas"/>
    <s v="Sin iniciar"/>
    <m/>
    <m/>
    <m/>
    <m/>
    <m/>
    <m/>
    <m/>
    <n v="0"/>
    <n v="0"/>
    <n v="0"/>
    <n v="0"/>
    <s v="Pendiente"/>
    <m/>
    <x v="4"/>
    <x v="1"/>
    <s v="Camposanto"/>
    <s v="Perú"/>
  </r>
  <r>
    <s v="P-34"/>
    <s v="P202414"/>
    <s v="Modificación del CRM - Bloqueo del celular"/>
    <m/>
    <s v="Comercial"/>
    <m/>
    <m/>
    <m/>
    <n v="0"/>
    <m/>
    <m/>
    <s v="L Rojas"/>
    <s v="Finalizado"/>
    <s v="Avanza"/>
    <m/>
    <m/>
    <m/>
    <m/>
    <m/>
    <n v="650"/>
    <n v="650"/>
    <n v="2.586549940310386E-3"/>
    <n v="650"/>
    <n v="2.586549940310386E-3"/>
    <s v="Aprobado"/>
    <d v="2024-01-01T00:00:00"/>
    <x v="11"/>
    <x v="1"/>
    <s v="Camposanto"/>
    <s v="Perú"/>
  </r>
  <r>
    <s v="P-35"/>
    <s v="P202415"/>
    <s v="Modificación reporte NIIF"/>
    <m/>
    <s v="Adm&amp;Fin"/>
    <m/>
    <m/>
    <m/>
    <n v="0"/>
    <m/>
    <m/>
    <s v="L Rojas"/>
    <s v="En proceso"/>
    <s v="Kunaq"/>
    <m/>
    <m/>
    <m/>
    <m/>
    <m/>
    <n v="0"/>
    <n v="4980"/>
    <n v="1.9816951850378035E-2"/>
    <n v="2490"/>
    <n v="9.9084759251890173E-3"/>
    <s v="Aprobado"/>
    <d v="2024-03-01T00:00:00"/>
    <x v="12"/>
    <x v="1"/>
    <s v="Camposanto"/>
    <s v="Perú"/>
  </r>
  <r>
    <s v="P-36"/>
    <s v="P202416"/>
    <s v="Modificación del API"/>
    <m/>
    <s v="Operaciones"/>
    <m/>
    <m/>
    <m/>
    <n v="0"/>
    <m/>
    <m/>
    <s v="L Rojas"/>
    <s v="En proceso"/>
    <s v="Kunaq"/>
    <m/>
    <m/>
    <m/>
    <m/>
    <m/>
    <n v="0"/>
    <n v="1780"/>
    <n v="7.0831675288499799E-3"/>
    <n v="890"/>
    <n v="3.5415837644249899E-3"/>
    <s v="Aprobado"/>
    <d v="2024-03-01T00:00:00"/>
    <x v="12"/>
    <x v="1"/>
    <s v="Camposanto"/>
    <s v="Perú"/>
  </r>
  <r>
    <s v="P-37"/>
    <s v="P202417"/>
    <s v="Modificación del CRM - Contraseña"/>
    <m/>
    <s v="SAC&amp;Parque"/>
    <m/>
    <m/>
    <m/>
    <n v="0"/>
    <m/>
    <m/>
    <s v="L Rojas"/>
    <s v="Sin iniciar"/>
    <s v="Avanza"/>
    <m/>
    <s v="x"/>
    <m/>
    <m/>
    <m/>
    <n v="0"/>
    <n v="11960"/>
    <n v="4.7592518901711102E-2"/>
    <n v="0"/>
    <n v="0"/>
    <s v="Aprobado"/>
    <d v="2024-06-01T00:00:00"/>
    <x v="10"/>
    <x v="1"/>
    <s v="Camposanto"/>
    <s v="Perú"/>
  </r>
  <r>
    <s v="P-38"/>
    <s v="P202418"/>
    <s v="Modificación del CRM - Cambio de dominio"/>
    <m/>
    <s v="SAC&amp;Parque"/>
    <m/>
    <m/>
    <m/>
    <n v="0"/>
    <m/>
    <m/>
    <s v="L Rojas"/>
    <s v="En proceso"/>
    <s v="Avanza"/>
    <m/>
    <m/>
    <m/>
    <m/>
    <m/>
    <n v="650"/>
    <n v="650"/>
    <n v="2.586549940310386E-3"/>
    <n v="0"/>
    <n v="0"/>
    <s v="Aprobado"/>
    <d v="2024-06-01T00:00:00"/>
    <x v="10"/>
    <x v="1"/>
    <s v="Camposanto"/>
    <s v="Perú"/>
  </r>
  <r>
    <s v="P-39"/>
    <s v="P202419"/>
    <s v="Reporte de cobranza"/>
    <m/>
    <s v="Operaciones"/>
    <m/>
    <m/>
    <m/>
    <n v="0"/>
    <m/>
    <m/>
    <s v="L Rojas"/>
    <s v="Sin iniciar"/>
    <s v="Kunaq"/>
    <s v="x"/>
    <m/>
    <m/>
    <m/>
    <m/>
    <n v="0"/>
    <n v="4340"/>
    <n v="1.7270194986072424E-2"/>
    <n v="0"/>
    <n v="0"/>
    <s v="Aprobado"/>
    <d v="2024-07-01T00:00:00"/>
    <x v="13"/>
    <x v="1"/>
    <s v="Camposanto"/>
    <s v="Perú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1">
  <r>
    <s v="F-1001"/>
    <s v=""/>
    <x v="0"/>
    <d v="2022-04-29T00:00:00"/>
    <s v="Avanza"/>
    <m/>
    <s v="E001-294"/>
    <m/>
    <m/>
    <s v="CRM Ecuador"/>
    <n v="1"/>
    <s v="Cuota 1/3 - 35%"/>
    <n v="7490"/>
    <n v="14980"/>
    <s v="SOL"/>
    <n v="7490"/>
    <x v="0"/>
    <s v="Ecuador"/>
    <s v="Comercial"/>
    <s v="Cancelado"/>
    <m/>
    <d v="2022-04-01T00:00:00"/>
    <x v="0"/>
    <m/>
  </r>
  <r>
    <s v="F-1002"/>
    <s v=""/>
    <x v="0"/>
    <d v="2022-08-05T00:00:00"/>
    <s v="Avanza"/>
    <m/>
    <s v="E001-326"/>
    <m/>
    <m/>
    <s v="CRM Ecuador"/>
    <n v="2"/>
    <s v="Cuota 2/3 - 50%"/>
    <n v="5243"/>
    <n v="14980"/>
    <s v="SOL"/>
    <n v="5243"/>
    <x v="0"/>
    <s v="Ecuador"/>
    <s v="Comercial"/>
    <s v="Cancelado"/>
    <m/>
    <d v="2022-08-01T00:00:00"/>
    <x v="1"/>
    <m/>
  </r>
  <r>
    <s v="F-1003"/>
    <s v=""/>
    <x v="0"/>
    <d v="2022-10-18T00:00:00"/>
    <s v="Kunaq"/>
    <m/>
    <s v="E001-2337"/>
    <m/>
    <m/>
    <s v="Trama Interbank"/>
    <n v="1"/>
    <s v="Cuota única"/>
    <n v="2320"/>
    <n v="2320"/>
    <s v="SOL"/>
    <n v="2320"/>
    <x v="0"/>
    <s v="Perú"/>
    <s v="R&amp;C"/>
    <s v="Cancelado"/>
    <m/>
    <d v="2022-10-01T00:00:00"/>
    <x v="2"/>
    <m/>
  </r>
  <r>
    <s v="F-1004"/>
    <s v=""/>
    <x v="0"/>
    <d v="2022-10-18T00:00:00"/>
    <s v="Kunaq"/>
    <s v="FU-2022.3-013"/>
    <s v="E001-2339"/>
    <m/>
    <m/>
    <s v="Modificaciones GDH - SG5 planillas"/>
    <n v="1"/>
    <s v="Cuota 1/3 - 30%"/>
    <n v="2412"/>
    <n v="8040"/>
    <s v="SOL"/>
    <n v="2412"/>
    <x v="0"/>
    <s v="Perú"/>
    <s v="GDH"/>
    <s v="Cancelado"/>
    <m/>
    <d v="2022-10-01T00:00:00"/>
    <x v="2"/>
    <m/>
  </r>
  <r>
    <s v="F-1005"/>
    <s v=""/>
    <x v="0"/>
    <d v="2022-11-14T00:00:00"/>
    <s v="BigDavi"/>
    <s v="FU-2022.4-016"/>
    <s v="E001-1119"/>
    <m/>
    <m/>
    <s v="Envio de formatos - BigDavi (Setup // API)"/>
    <n v="1"/>
    <s v="Cuota única"/>
    <n v="4515"/>
    <n v="4145"/>
    <s v="SOL"/>
    <n v="4515"/>
    <x v="0"/>
    <s v="Perú"/>
    <s v="GDH"/>
    <s v="Cancelado"/>
    <m/>
    <d v="2022-11-01T00:00:00"/>
    <x v="3"/>
    <m/>
  </r>
  <r>
    <s v="F-1006"/>
    <s v=""/>
    <x v="0"/>
    <d v="2022-11-14T00:00:00"/>
    <s v="BigDavi"/>
    <s v="FU-2022.4-016"/>
    <s v="E001-1120"/>
    <m/>
    <m/>
    <s v="Envio de formatos - BigDavi (Certificado digital // Token virtual)"/>
    <n v="1"/>
    <s v="Cuota única"/>
    <n v="370"/>
    <n v="370"/>
    <s v="SOL"/>
    <n v="370"/>
    <x v="1"/>
    <s v="Perú"/>
    <s v="GDH"/>
    <s v="Cancelado"/>
    <m/>
    <d v="2022-11-01T00:00:00"/>
    <x v="3"/>
    <m/>
  </r>
  <r>
    <s v="F-1007"/>
    <s v=""/>
    <x v="0"/>
    <d v="2022-11-21T00:00:00"/>
    <s v="Avanza"/>
    <m/>
    <s v="E001-360"/>
    <m/>
    <m/>
    <s v="CRM Ecuador"/>
    <n v="3"/>
    <s v="Cuota 3/3 - 15%"/>
    <n v="2247"/>
    <n v="14980"/>
    <s v="SOL"/>
    <n v="2247"/>
    <x v="0"/>
    <s v="Ecuador"/>
    <s v="Comercial"/>
    <s v="Cancelado"/>
    <m/>
    <d v="2022-11-01T00:00:00"/>
    <x v="3"/>
    <m/>
  </r>
  <r>
    <s v="F-1008"/>
    <s v=""/>
    <x v="0"/>
    <d v="2022-11-22T00:00:00"/>
    <s v="Kunaq"/>
    <m/>
    <s v="E001-2499"/>
    <m/>
    <m/>
    <s v="Mantenimiento SG5 // Feb 22 - Ene 23"/>
    <m/>
    <s v="Cuota 10/12"/>
    <n v="4600"/>
    <n v="55200"/>
    <s v="SOL"/>
    <n v="4600"/>
    <x v="1"/>
    <s v="Perú"/>
    <s v="Operaciones"/>
    <s v="Cancelado"/>
    <m/>
    <d v="2022-11-01T00:00:00"/>
    <x v="3"/>
    <m/>
  </r>
  <r>
    <s v="F-1009"/>
    <s v=""/>
    <x v="0"/>
    <d v="2022-11-22T00:00:00"/>
    <s v="Kunaq"/>
    <m/>
    <s v="E001-2500"/>
    <m/>
    <m/>
    <s v="Trama Interbank"/>
    <m/>
    <s v="Cuota adicional"/>
    <n v="960"/>
    <n v="2320"/>
    <s v="SOL"/>
    <n v="960"/>
    <x v="0"/>
    <s v="Perú"/>
    <s v="R&amp;C"/>
    <s v="Cancelado"/>
    <m/>
    <d v="2022-11-01T00:00:00"/>
    <x v="3"/>
    <m/>
  </r>
  <r>
    <s v="F-1010"/>
    <s v=""/>
    <x v="0"/>
    <d v="2022-11-22T00:00:00"/>
    <s v="Kunaq"/>
    <s v="FU-2022.3-014"/>
    <s v="E001-2501"/>
    <m/>
    <m/>
    <s v="Reporte de recibos de FOMA por fechas por perfil"/>
    <n v="1"/>
    <s v="Cuota única"/>
    <n v="2420"/>
    <n v="2420"/>
    <s v="SOL"/>
    <n v="2420"/>
    <x v="0"/>
    <s v="Perú"/>
    <s v="Operaciones"/>
    <s v="Cancelado"/>
    <m/>
    <d v="2022-11-01T00:00:00"/>
    <x v="3"/>
    <m/>
  </r>
  <r>
    <s v="F-1011"/>
    <s v=""/>
    <x v="0"/>
    <d v="2022-11-22T00:00:00"/>
    <s v="Kunaq"/>
    <s v="FU-2022.3-013"/>
    <s v="E001-2502"/>
    <m/>
    <m/>
    <s v="Modificaciones GDH - SG5 planillas"/>
    <n v="2"/>
    <s v="Cuota 2/3 - 35%"/>
    <n v="2814"/>
    <n v="8040"/>
    <s v="SOL"/>
    <n v="2814"/>
    <x v="0"/>
    <s v="Perú"/>
    <s v="GDH"/>
    <s v="Cancelado"/>
    <m/>
    <d v="2022-11-01T00:00:00"/>
    <x v="3"/>
    <m/>
  </r>
  <r>
    <s v="F-1012"/>
    <s v=""/>
    <x v="0"/>
    <d v="2022-11-22T00:00:00"/>
    <s v="Kunaq"/>
    <s v="FU-2022.4-015"/>
    <s v="E001-2503"/>
    <m/>
    <m/>
    <s v="Modificación log de recaudo"/>
    <n v="1"/>
    <s v="Cuota 1/4 - 30%"/>
    <n v="3210"/>
    <n v="10700"/>
    <s v="SOL"/>
    <n v="3210"/>
    <x v="0"/>
    <s v="Perú"/>
    <s v="R&amp;C"/>
    <s v="Cancelado"/>
    <m/>
    <d v="2022-11-01T00:00:00"/>
    <x v="3"/>
    <m/>
  </r>
  <r>
    <s v="F-1013"/>
    <s v=""/>
    <x v="0"/>
    <d v="2022-12-15T00:00:00"/>
    <s v="Kunaq"/>
    <m/>
    <s v="E001-2557"/>
    <m/>
    <m/>
    <s v="Mantenimiento SG5 // Feb 22 - Ene 23"/>
    <m/>
    <s v="Cuota 11/12"/>
    <n v="4600"/>
    <n v="55200"/>
    <s v="SOL"/>
    <n v="4600"/>
    <x v="1"/>
    <s v="Perú"/>
    <s v="Operaciones"/>
    <s v="Cancelado"/>
    <m/>
    <d v="2022-12-01T00:00:00"/>
    <x v="4"/>
    <m/>
  </r>
  <r>
    <s v="F-1014"/>
    <s v=""/>
    <x v="0"/>
    <d v="2022-12-15T00:00:00"/>
    <s v="Kunaq"/>
    <s v="FU-2022.3-013"/>
    <s v="E001-2558"/>
    <m/>
    <m/>
    <s v="Modificaciones GDH - SG5 planillas"/>
    <n v="3"/>
    <s v="Cuota 3/3 - 35%"/>
    <n v="2814"/>
    <n v="8040"/>
    <s v="SOL"/>
    <n v="2814"/>
    <x v="0"/>
    <s v="Perú"/>
    <s v="GDH"/>
    <s v="Cancelado"/>
    <m/>
    <d v="2022-12-01T00:00:00"/>
    <x v="4"/>
    <m/>
  </r>
  <r>
    <s v="F-1015"/>
    <s v=""/>
    <x v="0"/>
    <d v="2022-12-15T00:00:00"/>
    <s v="Kunaq"/>
    <s v="FU-2022.4-015"/>
    <s v="E001-2559"/>
    <m/>
    <m/>
    <s v="Modificación log de recaudo"/>
    <n v="2"/>
    <s v="Cuota 2/4 - 70% / 3"/>
    <n v="2496.67"/>
    <n v="10700"/>
    <s v="SOL"/>
    <n v="2496.67"/>
    <x v="0"/>
    <s v="Perú"/>
    <s v="R&amp;C"/>
    <s v="Cancelado"/>
    <m/>
    <d v="2022-12-01T00:00:00"/>
    <x v="4"/>
    <m/>
  </r>
  <r>
    <s v="F-1016"/>
    <s v=""/>
    <x v="0"/>
    <d v="2022-12-15T00:00:00"/>
    <s v="Kunaq"/>
    <s v="FU-2022.4-019"/>
    <s v="E001-2560"/>
    <m/>
    <m/>
    <s v="Envío de comprobantes de ventas a la OSE-SRI"/>
    <n v="1"/>
    <s v="Cuota única"/>
    <n v="1780"/>
    <n v="1780"/>
    <s v="SOL"/>
    <n v="1780"/>
    <x v="0"/>
    <s v="Perú"/>
    <s v="Emisión"/>
    <s v="Cancelado"/>
    <m/>
    <d v="2022-12-01T00:00:00"/>
    <x v="4"/>
    <m/>
  </r>
  <r>
    <s v="F-1017"/>
    <s v=""/>
    <x v="0"/>
    <d v="2022-12-15T00:00:00"/>
    <s v="Kunaq"/>
    <s v="FU-2022.4-017"/>
    <s v="E001-2561"/>
    <m/>
    <m/>
    <s v="Envío de documentos a BigDavi"/>
    <n v="1"/>
    <s v="Cuota 1/4 - 30%"/>
    <n v="3000"/>
    <n v="10000"/>
    <s v="SOL"/>
    <n v="3000"/>
    <x v="0"/>
    <s v="Perú"/>
    <s v="GDH"/>
    <s v="Cancelado"/>
    <m/>
    <d v="2022-12-01T00:00:00"/>
    <x v="4"/>
    <m/>
  </r>
  <r>
    <s v="F-1018"/>
    <s v=""/>
    <x v="0"/>
    <d v="2022-12-16T00:00:00"/>
    <s v="Avanza"/>
    <s v="FU-2022.4-021"/>
    <s v="E001-381"/>
    <m/>
    <m/>
    <s v="Validación código de espacio + bloqueo por vacaciones"/>
    <n v="1"/>
    <s v="Cuota única"/>
    <n v="840"/>
    <n v="840"/>
    <s v="SOL"/>
    <n v="840"/>
    <x v="0"/>
    <s v="Perú"/>
    <s v="Comercial"/>
    <s v="Cancelado"/>
    <m/>
    <d v="2022-12-01T00:00:00"/>
    <x v="4"/>
    <m/>
  </r>
  <r>
    <s v="F-1019"/>
    <s v=""/>
    <x v="0"/>
    <d v="2023-01-19T00:00:00"/>
    <s v="Kunaq"/>
    <m/>
    <s v="E001-2621"/>
    <m/>
    <m/>
    <s v="Mantenimiento SG5 // Feb 22 - Ene 23"/>
    <m/>
    <s v="Cuota 12/12"/>
    <n v="4600"/>
    <n v="55200"/>
    <s v="SOL"/>
    <n v="4600"/>
    <x v="1"/>
    <s v="Perú"/>
    <s v="Operaciones"/>
    <s v="Cancelado"/>
    <m/>
    <d v="2023-01-01T00:00:00"/>
    <x v="5"/>
    <m/>
  </r>
  <r>
    <s v="F-1020"/>
    <s v=""/>
    <x v="0"/>
    <d v="2023-01-19T00:00:00"/>
    <s v="Kunaq"/>
    <s v="FU-2022.4-015"/>
    <s v="E001-2622"/>
    <m/>
    <m/>
    <s v="Modificación log de recaudo"/>
    <n v="3"/>
    <s v="Cuota 3/4 - 70% / 3"/>
    <n v="2496.67"/>
    <n v="10700"/>
    <s v="SOL"/>
    <n v="2496.67"/>
    <x v="0"/>
    <s v="Perú"/>
    <s v="R&amp;C"/>
    <s v="Cancelado"/>
    <m/>
    <d v="2023-01-01T00:00:00"/>
    <x v="5"/>
    <m/>
  </r>
  <r>
    <s v="F-1021"/>
    <s v=""/>
    <x v="0"/>
    <d v="2023-01-19T00:00:00"/>
    <s v="Kunaq"/>
    <s v="FU-2022.4-017"/>
    <s v="E001-2623"/>
    <m/>
    <m/>
    <s v="Envío de documentos a BigDavi"/>
    <n v="2"/>
    <s v="Cuota 2/4 - 70% / 3"/>
    <n v="2333.33"/>
    <n v="10000"/>
    <s v="SOL"/>
    <n v="2333.33"/>
    <x v="0"/>
    <s v="Perú"/>
    <s v="GDH"/>
    <s v="Cancelado"/>
    <m/>
    <d v="2023-01-01T00:00:00"/>
    <x v="5"/>
    <m/>
  </r>
  <r>
    <s v="F-1022"/>
    <s v=""/>
    <x v="0"/>
    <d v="2023-01-19T00:00:00"/>
    <s v="Kunaq"/>
    <s v="FU-2022.4-026"/>
    <s v="E001-2625"/>
    <m/>
    <m/>
    <s v="Modificación del asiento contable para beneficios sociales"/>
    <n v="1"/>
    <s v="Cuota única"/>
    <n v="640"/>
    <n v="640"/>
    <s v="SOL"/>
    <n v="640"/>
    <x v="0"/>
    <s v="Perú"/>
    <s v="GDH"/>
    <s v="Cancelado"/>
    <m/>
    <d v="2023-01-01T00:00:00"/>
    <x v="5"/>
    <m/>
  </r>
  <r>
    <s v="F-1023"/>
    <s v=""/>
    <x v="0"/>
    <d v="2023-01-19T00:00:00"/>
    <s v="Kunaq"/>
    <m/>
    <s v="E001-2626"/>
    <m/>
    <m/>
    <s v="Error - Correccion trama mora"/>
    <n v="1"/>
    <s v="Cuota única"/>
    <n v="1920"/>
    <n v="1920"/>
    <s v="SOL"/>
    <n v="1920"/>
    <x v="0"/>
    <s v="Perú"/>
    <s v="R&amp;C"/>
    <s v="Cancelado"/>
    <m/>
    <d v="2023-01-01T00:00:00"/>
    <x v="5"/>
    <m/>
  </r>
  <r>
    <s v="F-1024"/>
    <s v=""/>
    <x v="0"/>
    <d v="2023-01-19T00:00:00"/>
    <s v="Kunaq"/>
    <m/>
    <s v="E001-2627"/>
    <m/>
    <m/>
    <s v="Importación 400 contratos"/>
    <n v="1"/>
    <s v="Cuota única"/>
    <n v="2560"/>
    <n v="2560"/>
    <s v="SOL"/>
    <n v="2560"/>
    <x v="0"/>
    <s v="Perú"/>
    <s v="Emisión"/>
    <s v="Cancelado"/>
    <m/>
    <d v="2023-01-01T00:00:00"/>
    <x v="5"/>
    <m/>
  </r>
  <r>
    <s v="F-1025"/>
    <s v=""/>
    <x v="0"/>
    <d v="2023-01-19T00:00:00"/>
    <s v="Kunaq"/>
    <m/>
    <s v="E001-2628"/>
    <m/>
    <m/>
    <s v="Fecha errada en comprobantes"/>
    <n v="1"/>
    <s v="Cuota única"/>
    <n v="2560"/>
    <n v="2560"/>
    <s v="SOL"/>
    <n v="2560"/>
    <x v="0"/>
    <s v="Perú"/>
    <s v="R&amp;C"/>
    <s v="Cancelado"/>
    <m/>
    <d v="2023-01-01T00:00:00"/>
    <x v="5"/>
    <m/>
  </r>
  <r>
    <s v="F-1026"/>
    <s v=""/>
    <x v="0"/>
    <d v="2023-02-13T00:00:00"/>
    <s v="Kunaq"/>
    <s v="FU-2022.4-015"/>
    <s v="E001-2705"/>
    <m/>
    <m/>
    <s v="Modificación log de recaudo"/>
    <n v="4"/>
    <s v="Cuota 4/4 - 70% / 3"/>
    <n v="2496.67"/>
    <n v="10700"/>
    <s v="SOL"/>
    <n v="2496.67"/>
    <x v="0"/>
    <s v="Perú"/>
    <s v="R&amp;C"/>
    <s v="Cancelado"/>
    <m/>
    <d v="2023-02-01T00:00:00"/>
    <x v="6"/>
    <m/>
  </r>
  <r>
    <s v="F-1027"/>
    <s v=""/>
    <x v="0"/>
    <d v="2023-02-13T00:00:00"/>
    <s v="Kunaq"/>
    <s v="FU-2022.4-017"/>
    <s v="E001-2706"/>
    <m/>
    <m/>
    <s v="Envío de documentos a BigDavi"/>
    <n v="3"/>
    <s v="Cuota 3/4 - 70% / 3"/>
    <n v="2333.33"/>
    <n v="10000"/>
    <s v="SOL"/>
    <n v="2333.33"/>
    <x v="0"/>
    <s v="Perú"/>
    <s v="GDH"/>
    <s v="Cancelado"/>
    <m/>
    <d v="2023-02-01T00:00:00"/>
    <x v="6"/>
    <m/>
  </r>
  <r>
    <s v="F-1028"/>
    <s v=""/>
    <x v="0"/>
    <d v="2023-02-13T00:00:00"/>
    <s v="Kunaq"/>
    <s v="FU-2022.4-024"/>
    <s v="E001-2707"/>
    <m/>
    <m/>
    <s v="Envío de contratos y activación automática"/>
    <n v="1"/>
    <s v="Cuota 1/4 - 30%"/>
    <n v="3990"/>
    <n v="13300"/>
    <s v="SOL"/>
    <n v="3990"/>
    <x v="0"/>
    <s v="Perú"/>
    <s v="Emisión"/>
    <s v="Cancelado"/>
    <m/>
    <d v="2023-02-01T00:00:00"/>
    <x v="6"/>
    <m/>
  </r>
  <r>
    <s v="F-1029"/>
    <s v=""/>
    <x v="0"/>
    <d v="2023-03-20T00:00:00"/>
    <s v="Avanza"/>
    <m/>
    <s v="E001-536"/>
    <m/>
    <m/>
    <s v="Revisón del proceso de backup"/>
    <n v="1"/>
    <s v="Cuota única"/>
    <n v="240"/>
    <n v="240"/>
    <s v="SOL"/>
    <n v="240"/>
    <x v="0"/>
    <s v="Perú"/>
    <s v="TI"/>
    <s v="Cancelado"/>
    <m/>
    <d v="2023-03-01T00:00:00"/>
    <x v="7"/>
    <m/>
  </r>
  <r>
    <s v="F-1030"/>
    <s v=""/>
    <x v="0"/>
    <d v="2023-05-18T00:00:00"/>
    <s v="Kunaq"/>
    <s v="FU-2022.4-024"/>
    <s v="E001-2952"/>
    <m/>
    <m/>
    <s v="Envío de contratos y activación automática"/>
    <n v="2"/>
    <s v="Cuota 2/4 - 70% / 3"/>
    <n v="3103.3333333333335"/>
    <n v="13300"/>
    <s v="SOL"/>
    <n v="3103.3333333333335"/>
    <x v="0"/>
    <s v="Perú"/>
    <s v="Emisión"/>
    <s v="Cancelado"/>
    <m/>
    <d v="2023-05-01T00:00:00"/>
    <x v="8"/>
    <m/>
  </r>
  <r>
    <s v="F-1031"/>
    <s v=""/>
    <x v="0"/>
    <d v="2023-06-19T00:00:00"/>
    <s v="Kunaq"/>
    <s v="FU-2022.4-024"/>
    <s v="E001-3033"/>
    <m/>
    <m/>
    <s v="Envío de contratos y activación automática"/>
    <n v="3"/>
    <s v="Cuota 3/4 - 70% / 3"/>
    <n v="3103.3333333333335"/>
    <n v="13300"/>
    <s v="SOL"/>
    <n v="3103.3333333333335"/>
    <x v="0"/>
    <s v="Perú"/>
    <s v="Emisión"/>
    <s v="Cancelado"/>
    <m/>
    <d v="2023-06-01T00:00:00"/>
    <x v="9"/>
    <m/>
  </r>
  <r>
    <s v="F-1032"/>
    <s v=""/>
    <x v="0"/>
    <d v="2023-06-19T00:00:00"/>
    <s v="Kunaq"/>
    <s v="FU-2022.4-024"/>
    <s v="E001-3033"/>
    <m/>
    <m/>
    <s v="Envío de contratos y activación automática"/>
    <n v="4"/>
    <s v="Cuota 4/4 - 70% / 3"/>
    <n v="3103.3333333333335"/>
    <n v="13300"/>
    <s v="SOL"/>
    <n v="3103.3333333333335"/>
    <x v="0"/>
    <s v="Perú"/>
    <s v="Emisión"/>
    <s v="Cancelado"/>
    <m/>
    <d v="2023-06-01T00:00:00"/>
    <x v="9"/>
    <m/>
  </r>
  <r>
    <s v="F-1033"/>
    <s v=""/>
    <x v="0"/>
    <d v="2023-09-01T00:00:00"/>
    <s v="Kunaq"/>
    <s v="FU-2022.4-017"/>
    <s v="E001-3271"/>
    <m/>
    <m/>
    <s v="Envío de documentos a BigDavi"/>
    <n v="4"/>
    <s v="Cuota 4/4 - 70% / 3"/>
    <n v="2333.33"/>
    <n v="10000"/>
    <s v="SOL"/>
    <n v="2333.33"/>
    <x v="0"/>
    <s v="Perú"/>
    <s v="GDH"/>
    <s v="Cancelado"/>
    <d v="2023-10-20T00:00:00"/>
    <d v="2023-09-01T00:00:00"/>
    <x v="10"/>
    <m/>
  </r>
  <r>
    <s v="F-1034"/>
    <s v="P202320"/>
    <x v="1"/>
    <d v="2023-01-19T00:00:00"/>
    <s v="Kunaq"/>
    <s v="FU-2022.4-025"/>
    <s v="E001-2624"/>
    <d v="2023-01-01T00:00:00"/>
    <m/>
    <s v="Web service para consulta de estado del trabajador"/>
    <n v="1"/>
    <s v="Cuota única"/>
    <n v="1780"/>
    <n v="1780"/>
    <s v="SOL"/>
    <n v="1780"/>
    <x v="0"/>
    <s v="Perú"/>
    <s v="Comercial"/>
    <s v="Cancelado"/>
    <m/>
    <d v="2023-01-01T00:00:00"/>
    <x v="5"/>
    <m/>
  </r>
  <r>
    <s v="F-1035"/>
    <s v=""/>
    <x v="1"/>
    <d v="2023-02-13T00:00:00"/>
    <s v="Kunaq"/>
    <m/>
    <s v="E001-2704"/>
    <m/>
    <m/>
    <s v="Mantenimiento SG5 // Feb 23 - Ene 24"/>
    <n v="1"/>
    <s v="Cuota 1/12 (Feb)"/>
    <n v="5100"/>
    <n v="61200"/>
    <s v="SOL"/>
    <n v="5100"/>
    <x v="1"/>
    <s v="Perú"/>
    <s v="Operaciones"/>
    <s v="Cancelado"/>
    <m/>
    <d v="2023-02-01T00:00:00"/>
    <x v="6"/>
    <m/>
  </r>
  <r>
    <s v="F-1036"/>
    <s v="P202311"/>
    <x v="1"/>
    <d v="2023-02-17T00:00:00"/>
    <s v="Avanza"/>
    <s v="FU-2023.1-003"/>
    <s v="E001-497"/>
    <d v="2023-02-01T00:00:00"/>
    <m/>
    <s v="Log cambios en primera y log consultas"/>
    <n v="1"/>
    <s v="Cuota única"/>
    <n v="1200"/>
    <n v="1200"/>
    <s v="SOL"/>
    <n v="1200"/>
    <x v="0"/>
    <s v="Perú"/>
    <s v="Comercial"/>
    <s v="Cancelado"/>
    <m/>
    <d v="2023-02-01T00:00:00"/>
    <x v="6"/>
    <m/>
  </r>
  <r>
    <s v="F-1037"/>
    <s v=""/>
    <x v="1"/>
    <d v="2023-02-28T00:00:00"/>
    <s v="Avanza"/>
    <m/>
    <s v="E001-500"/>
    <m/>
    <s v="OS0000796"/>
    <s v="Mantenimiento CRM // Mar 23 - Feb 24"/>
    <n v="1"/>
    <s v="Cuota 1/2"/>
    <n v="11000"/>
    <n v="22000"/>
    <s v="SOL"/>
    <n v="11000"/>
    <x v="1"/>
    <s v="Perú"/>
    <s v="Operaciones"/>
    <s v="Cancelado"/>
    <m/>
    <d v="2023-02-01T00:00:00"/>
    <x v="6"/>
    <m/>
  </r>
  <r>
    <s v="F-1038"/>
    <s v=""/>
    <x v="1"/>
    <d v="2023-03-16T00:00:00"/>
    <s v="Kunaq"/>
    <m/>
    <s v="E001-2793"/>
    <m/>
    <m/>
    <s v="Mantenimiento SG5 // Feb 23 - Ene 24"/>
    <n v="2"/>
    <s v="Cuota 2/12 (Mar)"/>
    <n v="5100"/>
    <n v="61200"/>
    <s v="SOL"/>
    <n v="5100"/>
    <x v="1"/>
    <s v="Perú"/>
    <s v="Operaciones"/>
    <s v="Cancelado"/>
    <m/>
    <d v="2023-03-01T00:00:00"/>
    <x v="7"/>
    <m/>
  </r>
  <r>
    <s v="F-1039"/>
    <s v=""/>
    <x v="1"/>
    <d v="2023-04-19T00:00:00"/>
    <s v="Kunaq"/>
    <m/>
    <s v="E001-2869"/>
    <m/>
    <m/>
    <s v="Mantenimiento SG5 // Feb 23 - Ene 24"/>
    <n v="3"/>
    <s v="Cuota 3/12 (Abr)"/>
    <n v="5100"/>
    <n v="61200"/>
    <s v="SOL"/>
    <n v="5100"/>
    <x v="1"/>
    <s v="Perú"/>
    <s v="Operaciones"/>
    <s v="Cancelado"/>
    <m/>
    <d v="2023-04-01T00:00:00"/>
    <x v="11"/>
    <m/>
  </r>
  <r>
    <s v="F-1040"/>
    <s v="P202302"/>
    <x v="1"/>
    <d v="2023-04-19T00:00:00"/>
    <s v="Kunaq"/>
    <s v="FU-2023.1-006"/>
    <s v="E001-2871"/>
    <d v="2023-03-01T00:00:00"/>
    <s v="OS0000896"/>
    <s v="Proceso vacaciones web"/>
    <n v="1"/>
    <s v="Cuota 1/6 - 30%"/>
    <n v="11700"/>
    <n v="39000"/>
    <s v="SOL"/>
    <n v="11700"/>
    <x v="0"/>
    <s v="Perú"/>
    <s v="GDH"/>
    <s v="Cancelado"/>
    <m/>
    <d v="2023-04-01T00:00:00"/>
    <x v="11"/>
    <s v="Intranet"/>
  </r>
  <r>
    <s v="F-1041"/>
    <s v="P202318"/>
    <x v="1"/>
    <d v="2023-05-15T00:00:00"/>
    <s v="BCTS"/>
    <s v="FU-2023.1-008"/>
    <s v="F001-2043"/>
    <d v="2023-04-01T00:00:00"/>
    <m/>
    <s v="Modificar y crear reportes de pedidos de almacén - Exactus"/>
    <n v="1"/>
    <s v="Cuota única"/>
    <n v="250"/>
    <n v="250"/>
    <s v="DOL"/>
    <n v="2075"/>
    <x v="0"/>
    <s v="Perú"/>
    <s v="Adm&amp;Fin"/>
    <s v="Cancelado"/>
    <m/>
    <d v="2023-05-01T00:00:00"/>
    <x v="8"/>
    <m/>
  </r>
  <r>
    <s v="F-1042"/>
    <s v=""/>
    <x v="1"/>
    <d v="2023-05-18T00:00:00"/>
    <s v="Kunaq"/>
    <m/>
    <s v="E001-2951"/>
    <m/>
    <m/>
    <s v="Mantenimiento SG5 // Feb 23 - Ene 24"/>
    <n v="4"/>
    <s v="Cuota 4/12 (May)"/>
    <n v="5100"/>
    <n v="61200"/>
    <s v="SOL"/>
    <n v="5100"/>
    <x v="1"/>
    <s v="Perú"/>
    <s v="Operaciones"/>
    <s v="Cancelado"/>
    <m/>
    <d v="2023-05-01T00:00:00"/>
    <x v="8"/>
    <m/>
  </r>
  <r>
    <s v="F-1043"/>
    <s v="P202319"/>
    <x v="1"/>
    <d v="2023-05-18T00:00:00"/>
    <s v="Kunaq"/>
    <s v="FU-2023.1-011"/>
    <s v="E001-2953"/>
    <d v="2023-03-01T00:00:00"/>
    <s v="OS0000931"/>
    <s v="Reporte de moras"/>
    <n v="1"/>
    <s v="Cuota única"/>
    <n v="2420"/>
    <n v="2420"/>
    <s v="SOL"/>
    <n v="2420"/>
    <x v="0"/>
    <s v="Perú"/>
    <s v="Operaciones"/>
    <s v="Cancelado"/>
    <m/>
    <d v="2023-05-01T00:00:00"/>
    <x v="8"/>
    <m/>
  </r>
  <r>
    <s v="F-1044"/>
    <s v="P202314"/>
    <x v="1"/>
    <d v="2023-05-18T00:00:00"/>
    <s v="Kunaq"/>
    <s v="FU-2023.1-009"/>
    <s v="E001-2954"/>
    <d v="2023-03-01T00:00:00"/>
    <s v="OS0000936"/>
    <s v="Piloto de nueva forma de pago - SG5"/>
    <n v="1"/>
    <s v="Cuota única"/>
    <n v="3060"/>
    <n v="3060"/>
    <s v="SOL"/>
    <n v="3060"/>
    <x v="0"/>
    <s v="Perú"/>
    <s v="Comercial"/>
    <s v="Cancelado"/>
    <m/>
    <d v="2023-05-01T00:00:00"/>
    <x v="8"/>
    <m/>
  </r>
  <r>
    <s v="F-1045"/>
    <s v=""/>
    <x v="1"/>
    <d v="2023-06-19T00:00:00"/>
    <s v="Kunaq"/>
    <m/>
    <s v="E001-3032"/>
    <m/>
    <m/>
    <s v="Mantenimiento SG5 // Feb 23 - Ene 24"/>
    <n v="5"/>
    <s v="Cuota 5/12 (Jun)"/>
    <n v="5100"/>
    <n v="61200"/>
    <s v="SOL"/>
    <n v="5100"/>
    <x v="1"/>
    <s v="Perú"/>
    <s v="Operaciones"/>
    <s v="Cancelado"/>
    <m/>
    <d v="2023-06-01T00:00:00"/>
    <x v="9"/>
    <m/>
  </r>
  <r>
    <s v="F-1046"/>
    <s v="P202303"/>
    <x v="1"/>
    <d v="2023-06-19T00:00:00"/>
    <s v="Kunaq"/>
    <m/>
    <s v="E001-3034"/>
    <d v="2023-05-01T00:00:00"/>
    <s v="OS0001028"/>
    <s v="Implementación módulos asistencia y contratos"/>
    <n v="1"/>
    <s v="Cuota 1/3"/>
    <n v="3400"/>
    <n v="8000"/>
    <s v="SOL"/>
    <n v="3400"/>
    <x v="0"/>
    <s v="Perú"/>
    <s v="GDH"/>
    <s v="Cancelado"/>
    <m/>
    <d v="2023-06-01T00:00:00"/>
    <x v="9"/>
    <m/>
  </r>
  <r>
    <s v="F-1047"/>
    <s v="P202302"/>
    <x v="1"/>
    <d v="2023-06-21T00:00:00"/>
    <s v="Kunaq"/>
    <s v="FU-2023.1-006"/>
    <s v="E001-3036"/>
    <d v="2023-03-01T00:00:00"/>
    <s v="OS0000896"/>
    <s v="Proceso vacaciones web"/>
    <n v="2"/>
    <s v="Cuota 2/6 - 70% / 5"/>
    <n v="5460"/>
    <n v="39000"/>
    <s v="SOL"/>
    <n v="5460"/>
    <x v="0"/>
    <s v="Perú"/>
    <s v="GDH"/>
    <s v="Cancelado"/>
    <m/>
    <d v="2023-06-01T00:00:00"/>
    <x v="9"/>
    <s v="Intranet"/>
  </r>
  <r>
    <s v="F-1048"/>
    <s v="P202302"/>
    <x v="1"/>
    <d v="2023-06-21T00:00:00"/>
    <s v="Kunaq"/>
    <s v="FU-2023.1-002"/>
    <s v="E001-3035"/>
    <d v="2023-03-01T00:00:00"/>
    <s v="OS0001027"/>
    <s v="Proceso vacaciones SG5"/>
    <n v="1"/>
    <s v="Cuota 1/3 - 30%"/>
    <n v="2130"/>
    <n v="7100"/>
    <s v="SOL"/>
    <n v="2130"/>
    <x v="0"/>
    <s v="Perú"/>
    <s v="GDH"/>
    <s v="Cancelado"/>
    <m/>
    <d v="2023-06-01T00:00:00"/>
    <x v="9"/>
    <s v="Planillas"/>
  </r>
  <r>
    <s v="F-1049"/>
    <s v=""/>
    <x v="1"/>
    <d v="2023-07-06T00:00:00"/>
    <s v="Kunaq"/>
    <m/>
    <s v="E001-3083"/>
    <m/>
    <m/>
    <s v="Mantenimiento SG5 // Feb 23 - Ene 24"/>
    <n v="6"/>
    <s v="Cuota 6/12 (Jul)"/>
    <n v="5100"/>
    <n v="61200"/>
    <s v="SOL"/>
    <n v="5100"/>
    <x v="1"/>
    <s v="Perú"/>
    <s v="Operaciones"/>
    <s v="Cancelado"/>
    <m/>
    <d v="2023-07-01T00:00:00"/>
    <x v="12"/>
    <m/>
  </r>
  <r>
    <s v="F-1050"/>
    <s v="P202302"/>
    <x v="1"/>
    <d v="2023-07-21T00:00:00"/>
    <s v="Kunaq"/>
    <s v="FU-2023.1-006"/>
    <s v="E001-3121"/>
    <d v="2023-03-01T00:00:00"/>
    <s v="OS0000896"/>
    <s v="Proceso vacaciones web"/>
    <n v="3"/>
    <s v="Cuota 3/6 - 70% / 5"/>
    <n v="5460"/>
    <n v="39000"/>
    <s v="SOL"/>
    <n v="5460"/>
    <x v="0"/>
    <s v="Perú"/>
    <s v="GDH"/>
    <s v="Cancelado"/>
    <m/>
    <d v="2023-07-01T00:00:00"/>
    <x v="12"/>
    <s v="Intranet"/>
  </r>
  <r>
    <s v="F-1051"/>
    <s v="P202302"/>
    <x v="1"/>
    <d v="2023-07-21T00:00:00"/>
    <s v="Kunaq"/>
    <s v="FU-2023.1-002"/>
    <s v="E001-3120"/>
    <d v="2023-03-01T00:00:00"/>
    <s v="OS0001027"/>
    <s v="Proceso vacaciones SG5"/>
    <n v="2"/>
    <s v="Cuota 2/3 - 70% / 2"/>
    <n v="2485"/>
    <n v="7100"/>
    <s v="SOL"/>
    <n v="2485"/>
    <x v="0"/>
    <s v="Perú"/>
    <s v="GDH"/>
    <s v="Cancelado"/>
    <m/>
    <d v="2023-07-01T00:00:00"/>
    <x v="12"/>
    <s v="Planillas"/>
  </r>
  <r>
    <s v="F-1052"/>
    <s v="P202304"/>
    <x v="1"/>
    <d v="2023-07-21T00:00:00"/>
    <s v="Kunaq"/>
    <m/>
    <s v="E001-3119"/>
    <d v="2023-05-01T00:00:00"/>
    <s v="OS0001028"/>
    <s v="Implementación módulos asistencia y contratos"/>
    <n v="2"/>
    <s v="Cuota 2/3"/>
    <n v="1800"/>
    <n v="8000"/>
    <s v="SOL"/>
    <n v="1800"/>
    <x v="0"/>
    <s v="Perú"/>
    <s v="GDH"/>
    <s v="Cancelado"/>
    <m/>
    <d v="2023-07-01T00:00:00"/>
    <x v="12"/>
    <m/>
  </r>
  <r>
    <s v="F-1053"/>
    <s v=""/>
    <x v="1"/>
    <d v="2023-08-17T00:00:00"/>
    <s v="Kunaq"/>
    <m/>
    <s v="E001-3173"/>
    <m/>
    <m/>
    <s v="Mantenimiento SG5 // Feb 23 - Ene 24"/>
    <n v="7"/>
    <s v="Cuota 7/12 (Ago)"/>
    <n v="5100"/>
    <n v="61200"/>
    <s v="SOL"/>
    <n v="5100"/>
    <x v="1"/>
    <s v="Perú"/>
    <s v="Operaciones"/>
    <s v="Cancelado"/>
    <m/>
    <d v="2023-08-01T00:00:00"/>
    <x v="13"/>
    <m/>
  </r>
  <r>
    <s v="F-1054"/>
    <s v="P202302"/>
    <x v="1"/>
    <d v="2023-08-17T00:00:00"/>
    <s v="Kunaq"/>
    <s v="FU-2023.1-006"/>
    <s v="E001-3174"/>
    <d v="2023-03-01T00:00:00"/>
    <s v="OS0000896"/>
    <s v="Proceso vacaciones web"/>
    <n v="4"/>
    <s v="Cuota 4/6 - 70% / 5"/>
    <n v="5460"/>
    <n v="39000"/>
    <s v="SOL"/>
    <n v="5460"/>
    <x v="0"/>
    <s v="Perú"/>
    <s v="GDH"/>
    <s v="Cancelado"/>
    <m/>
    <d v="2023-08-01T00:00:00"/>
    <x v="13"/>
    <s v="Intranet"/>
  </r>
  <r>
    <s v="F-1055"/>
    <s v=""/>
    <x v="1"/>
    <d v="2023-08-28T00:00:00"/>
    <s v="Avanza"/>
    <m/>
    <s v="E001-825"/>
    <m/>
    <s v="OS0000796"/>
    <s v="Mantenimiento CRM // Mar 23 - Feb 24"/>
    <n v="2"/>
    <s v="Cuota 2/2"/>
    <n v="11000"/>
    <n v="22000"/>
    <s v="SOL"/>
    <n v="11000"/>
    <x v="1"/>
    <s v="Perú"/>
    <s v="Operaciones"/>
    <s v="Cancelado"/>
    <d v="2023-09-04T00:00:00"/>
    <d v="2023-08-01T00:00:00"/>
    <x v="13"/>
    <m/>
  </r>
  <r>
    <s v="F-1056"/>
    <s v="P202302"/>
    <x v="1"/>
    <d v="2023-09-01T00:00:00"/>
    <s v="Kunaq"/>
    <s v="FU-2023.1-002"/>
    <s v="E001-3358"/>
    <d v="2023-03-01T00:00:00"/>
    <s v="OS0001027"/>
    <s v="Proceso vacaciones SG5"/>
    <n v="3"/>
    <s v="Cuota 3/3 - 70% / 2"/>
    <n v="2485"/>
    <n v="7100"/>
    <s v="SOL"/>
    <n v="2485"/>
    <x v="0"/>
    <s v="Perú"/>
    <s v="GDH"/>
    <s v="Cancelado"/>
    <d v="2023-11-21T00:00:00"/>
    <d v="2023-09-01T00:00:00"/>
    <x v="10"/>
    <s v="Planillas"/>
  </r>
  <r>
    <s v="F-1057"/>
    <s v="P202303"/>
    <x v="1"/>
    <d v="2023-09-01T00:00:00"/>
    <s v="Kunaq"/>
    <m/>
    <s v="E001-3300"/>
    <d v="2023-05-01T00:00:00"/>
    <s v="OS0001028"/>
    <s v="Implementación módulos asistencia y contratos"/>
    <n v="3"/>
    <s v="Cuota 3/3"/>
    <n v="2800"/>
    <n v="8000"/>
    <s v="SOL"/>
    <n v="2800"/>
    <x v="0"/>
    <s v="Perú"/>
    <s v="GDH"/>
    <s v="Cancelado"/>
    <d v="2023-11-11T00:00:00"/>
    <d v="2023-09-01T00:00:00"/>
    <x v="10"/>
    <m/>
  </r>
  <r>
    <s v="F-1058"/>
    <s v=""/>
    <x v="1"/>
    <d v="2023-09-01T00:00:00"/>
    <s v="Kunaq"/>
    <m/>
    <s v="E001-3267"/>
    <m/>
    <s v="OS00001225"/>
    <s v="Mantenimiento SG5 // Feb 23 - Ene 24"/>
    <n v="8"/>
    <s v="Cuota 8/12 (Sep)"/>
    <n v="5100"/>
    <n v="61200"/>
    <s v="SOL"/>
    <n v="5100"/>
    <x v="1"/>
    <s v="Perú"/>
    <s v="Operaciones"/>
    <s v="Cancelado"/>
    <d v="2023-10-20T00:00:00"/>
    <d v="2023-09-01T00:00:00"/>
    <x v="10"/>
    <m/>
  </r>
  <r>
    <s v="F-1059"/>
    <s v="P202302"/>
    <x v="1"/>
    <d v="2023-09-01T00:00:00"/>
    <s v="Kunaq"/>
    <s v="FU-2023.1-006"/>
    <s v="E001-3268"/>
    <d v="2023-03-01T00:00:00"/>
    <s v="OS0000896"/>
    <s v="Proceso vacaciones web"/>
    <n v="5"/>
    <s v="Cuota 5/6 - 70% / 5"/>
    <n v="5460"/>
    <n v="39000"/>
    <s v="SOL"/>
    <n v="5460"/>
    <x v="0"/>
    <s v="Perú"/>
    <s v="GDH"/>
    <s v="Cancelado"/>
    <d v="2023-10-20T00:00:00"/>
    <d v="2023-09-01T00:00:00"/>
    <x v="10"/>
    <s v="Intranet"/>
  </r>
  <r>
    <s v="F-1060"/>
    <s v="P202304"/>
    <x v="1"/>
    <d v="2023-09-01T00:00:00"/>
    <s v="Kunaq"/>
    <s v="FU-2023.3-020"/>
    <s v="E001-3270"/>
    <d v="2023-08-01T00:00:00"/>
    <s v="OS00001223"/>
    <s v="Modificación del módulo de contratos"/>
    <n v="2"/>
    <s v="Cuota 1/2 - 50%"/>
    <n v="4640"/>
    <n v="9280"/>
    <s v="SOL"/>
    <n v="4640"/>
    <x v="0"/>
    <s v="Perú"/>
    <s v="GDH"/>
    <s v="Cancelado"/>
    <d v="2023-10-20T00:00:00"/>
    <d v="2023-09-01T00:00:00"/>
    <x v="10"/>
    <s v="Planillas"/>
  </r>
  <r>
    <s v="F-1061"/>
    <s v="P202307"/>
    <x v="1"/>
    <d v="2023-09-01T00:00:00"/>
    <s v="Kunaq"/>
    <s v="FU-2023.3-017 "/>
    <s v="E001-3269"/>
    <d v="2023-08-01T00:00:00"/>
    <s v="OS00001224"/>
    <s v="Portal del cliente"/>
    <n v="3"/>
    <s v="Cuota 1/3 -30%"/>
    <n v="4110"/>
    <n v="13700"/>
    <s v="SOL"/>
    <n v="4110"/>
    <x v="0"/>
    <s v="Perú"/>
    <s v="SAC&amp;Parque"/>
    <s v="Cancelado"/>
    <d v="2023-10-20T00:00:00"/>
    <d v="2023-09-01T00:00:00"/>
    <x v="10"/>
    <s v="Portal web del cliente"/>
  </r>
  <r>
    <s v="F-1062"/>
    <s v="P202307"/>
    <x v="1"/>
    <d v="2023-09-01T00:00:00"/>
    <s v="IQ"/>
    <s v="FU-2023.3-017 "/>
    <s v="E001-1880"/>
    <d v="2023-08-01T00:00:00"/>
    <s v="OS00001199"/>
    <s v="Portal del cliente"/>
    <n v="1"/>
    <s v="Cuota única"/>
    <n v="700"/>
    <n v="700"/>
    <s v="SOL"/>
    <n v="700"/>
    <x v="0"/>
    <s v="Perú"/>
    <s v="SAC&amp;Parque"/>
    <s v="Cancelado"/>
    <m/>
    <d v="2023-09-01T00:00:00"/>
    <x v="10"/>
    <s v="Portal web del cliente"/>
  </r>
  <r>
    <s v="F-1063"/>
    <s v=""/>
    <x v="1"/>
    <d v="2023-10-01T00:00:00"/>
    <s v="Kunaq"/>
    <m/>
    <s v="E001-3277"/>
    <m/>
    <s v="OS00001225"/>
    <s v="Mantenimiento SG5 // Feb 23 - Ene 24"/>
    <n v="9"/>
    <s v="Cuota 9/12 (Oct)"/>
    <n v="5100"/>
    <n v="61200"/>
    <s v="SOL"/>
    <n v="5100"/>
    <x v="1"/>
    <s v="Perú"/>
    <s v="Operaciones"/>
    <s v="Cancelado"/>
    <d v="2023-11-02T00:00:00"/>
    <d v="2023-10-01T00:00:00"/>
    <x v="14"/>
    <m/>
  </r>
  <r>
    <s v="F-1064"/>
    <s v="P202302"/>
    <x v="1"/>
    <d v="2024-06-01T00:00:00"/>
    <s v="Kunaq"/>
    <s v="FU-2023.1-006"/>
    <s v="E001-3911"/>
    <d v="2023-03-01T00:00:00"/>
    <s v="OS0000896"/>
    <s v="Proceso vacaciones web"/>
    <n v="6"/>
    <s v="Cuota 6/6 - 70% / 5"/>
    <n v="5460"/>
    <n v="39000"/>
    <s v="SOL"/>
    <n v="5460"/>
    <x v="0"/>
    <s v="Perú"/>
    <s v="GDH"/>
    <s v="Cancelado"/>
    <d v="2024-07-11T00:00:00"/>
    <d v="2024-07-01T00:00:00"/>
    <x v="15"/>
    <s v="Intranet"/>
  </r>
  <r>
    <s v="F-1065"/>
    <s v="P202304"/>
    <x v="1"/>
    <d v="2023-10-01T00:00:00"/>
    <s v="Kunaq"/>
    <s v="FU-2023.3-020"/>
    <s v="E001-3359"/>
    <d v="2023-08-01T00:00:00"/>
    <s v="OS00001223"/>
    <s v="Modificación del módulo de contratos"/>
    <n v="2"/>
    <s v="Cuota 2/2 - 50%"/>
    <n v="4640"/>
    <n v="9280"/>
    <s v="SOL"/>
    <n v="4640"/>
    <x v="0"/>
    <s v="Perú"/>
    <s v="GDH"/>
    <s v="Cancelado"/>
    <d v="2023-12-14T00:00:00"/>
    <d v="2023-10-01T00:00:00"/>
    <x v="14"/>
    <s v="Planillas"/>
  </r>
  <r>
    <s v="F-1066"/>
    <s v="P202307"/>
    <x v="1"/>
    <d v="2023-10-01T00:00:00"/>
    <s v="Kunaq"/>
    <s v="FU-2023.3-017 "/>
    <s v="E001-3298"/>
    <d v="2023-08-01T00:00:00"/>
    <s v="OS00001224"/>
    <s v="Portal del cliente"/>
    <n v="3"/>
    <s v="Cuota 2/3 -35%"/>
    <n v="4795"/>
    <n v="13700"/>
    <s v="SOL"/>
    <n v="4795"/>
    <x v="0"/>
    <s v="Perú"/>
    <s v="SAC&amp;Parque"/>
    <s v="Cancelado"/>
    <d v="2023-11-11T00:00:00"/>
    <d v="2023-10-01T00:00:00"/>
    <x v="14"/>
    <s v="Portal web del cliente"/>
  </r>
  <r>
    <s v="F-1067"/>
    <s v="P202314"/>
    <x v="1"/>
    <d v="2023-10-01T00:00:00"/>
    <s v="Kunaq"/>
    <s v="FU-2023.3-018"/>
    <s v="E001-3302"/>
    <d v="2023-09-01T00:00:00"/>
    <s v="OS00001257"/>
    <s v="Nueva forma de pago - SG5"/>
    <n v="2"/>
    <s v="Cuota 1/2 - 50% (Oct)"/>
    <n v="4840"/>
    <n v="9680"/>
    <s v="SOL"/>
    <n v="4840"/>
    <x v="0"/>
    <s v="Perú"/>
    <s v="Comercial"/>
    <s v="Cancelado"/>
    <d v="2023-11-12T00:00:00"/>
    <d v="2023-10-01T00:00:00"/>
    <x v="14"/>
    <s v="Practiplan"/>
  </r>
  <r>
    <s v="F-1068"/>
    <s v="P202314"/>
    <x v="1"/>
    <d v="2023-10-01T00:00:00"/>
    <s v="Avanza"/>
    <s v="FU-2023.3-019"/>
    <s v="E001-1006"/>
    <d v="2023-09-01T00:00:00"/>
    <s v="OS00001258"/>
    <s v="Nueva forma de pago - CRM"/>
    <n v="1"/>
    <s v="Cuota única (fin de proyecto)"/>
    <n v="1170"/>
    <n v="1170"/>
    <s v="SOL"/>
    <n v="1170"/>
    <x v="0"/>
    <s v="Perú"/>
    <s v="Comercial"/>
    <s v="Cancelado"/>
    <d v="2024-01-03T00:00:00"/>
    <d v="2023-12-01T00:00:00"/>
    <x v="14"/>
    <s v="Practiplan"/>
  </r>
  <r>
    <s v="F-1069"/>
    <s v="P202313"/>
    <x v="1"/>
    <d v="2023-10-01T00:00:00"/>
    <s v="Kunaq"/>
    <s v="FU-2023.3-021"/>
    <s v="E001-3299"/>
    <d v="2023-10-01T00:00:00"/>
    <s v="OS00001281"/>
    <s v="Modificación en la distribución de espacios"/>
    <n v="2"/>
    <s v="Cuota 1/2 - 50% "/>
    <n v="5600"/>
    <n v="11200"/>
    <s v="SOL"/>
    <n v="5600"/>
    <x v="0"/>
    <s v="Perú"/>
    <s v="Operaciones"/>
    <s v="Cancelado"/>
    <d v="2023-11-11T00:00:00"/>
    <d v="2023-01-01T00:00:00"/>
    <x v="14"/>
    <m/>
  </r>
  <r>
    <s v="F-1070"/>
    <s v=""/>
    <x v="1"/>
    <d v="2023-10-03T00:00:00"/>
    <s v="BCTS"/>
    <m/>
    <s v="F001-00002194"/>
    <d v="2023-10-01T00:00:00"/>
    <m/>
    <s v="Mantenimiento ERP Exactus // del 20/10/23 al 20/10/24"/>
    <n v="1"/>
    <s v="Cuota única"/>
    <n v="7600"/>
    <n v="7600"/>
    <s v="DOL"/>
    <n v="63080.000000000007"/>
    <x v="1"/>
    <s v="Perú"/>
    <s v="Operaciones"/>
    <s v="Cancelado"/>
    <m/>
    <d v="2023-10-01T00:00:00"/>
    <x v="14"/>
    <m/>
  </r>
  <r>
    <s v="F-1071"/>
    <s v=""/>
    <x v="1"/>
    <d v="2023-11-01T00:00:00"/>
    <s v="Kunaq"/>
    <m/>
    <s v="E001-3344"/>
    <m/>
    <s v="OS00001225"/>
    <s v="Mantenimiento SG5 // Feb 23 - Ene 24"/>
    <n v="10"/>
    <s v="Cuota 10/12 (Nov)"/>
    <n v="5100"/>
    <n v="61200"/>
    <s v="SOL"/>
    <n v="5100"/>
    <x v="1"/>
    <s v="Perú"/>
    <s v="Operaciones"/>
    <s v="Cancelado"/>
    <d v="2023-12-03T00:00:00"/>
    <d v="2023-11-01T00:00:00"/>
    <x v="16"/>
    <m/>
  </r>
  <r>
    <s v="F-1072"/>
    <s v="P202307"/>
    <x v="1"/>
    <d v="2023-11-01T00:00:00"/>
    <s v="Kunaq"/>
    <s v="FU-2023.3-017 "/>
    <s v="E001-3463"/>
    <d v="2023-08-01T00:00:00"/>
    <s v="OS00001224"/>
    <s v="Portal del cliente"/>
    <n v="3"/>
    <s v="Cuota 3/3- 35%"/>
    <n v="4795"/>
    <n v="13700"/>
    <s v="SOL"/>
    <n v="4795"/>
    <x v="0"/>
    <s v="Perú"/>
    <s v="SAC&amp;Parque"/>
    <s v="Cancelado"/>
    <d v="2024-01-15T00:00:00"/>
    <d v="2024-01-01T00:00:00"/>
    <x v="16"/>
    <s v="Portal web del cliente"/>
  </r>
  <r>
    <s v="F-1073"/>
    <s v="P202314"/>
    <x v="1"/>
    <d v="2023-11-01T00:00:00"/>
    <s v="Kunaq"/>
    <s v="FU-2023.3-018"/>
    <s v="E001-3456"/>
    <d v="2023-09-01T00:00:00"/>
    <s v="OS00001257"/>
    <s v="Nueva forma de pago - SG5"/>
    <n v="2"/>
    <s v="Cuota 2/2 - 50% (Nov)"/>
    <n v="4840"/>
    <n v="9680"/>
    <s v="SOL"/>
    <n v="4840"/>
    <x v="0"/>
    <s v="Perú"/>
    <s v="Comercial"/>
    <s v="Cancelado"/>
    <d v="2024-01-15T00:00:00"/>
    <d v="2024-01-11T00:00:00"/>
    <x v="16"/>
    <s v="Practiplan"/>
  </r>
  <r>
    <s v="F-1074"/>
    <s v="P202305"/>
    <x v="1"/>
    <d v="2023-11-01T00:00:00"/>
    <s v="Kunaq"/>
    <s v="FU-2023.4-023"/>
    <s v="E001-3360"/>
    <d v="2023-10-01T00:00:00"/>
    <s v="OS00001393"/>
    <s v="Implementación de las NIIF"/>
    <n v="2"/>
    <s v="Cuota 1/2 - 50% "/>
    <n v="7150"/>
    <n v="14300"/>
    <s v="SOL"/>
    <n v="7150"/>
    <x v="0"/>
    <s v="Perú"/>
    <s v="Adm&amp;Fin"/>
    <s v="Cancelado"/>
    <d v="2023-12-14T00:00:00"/>
    <d v="2023-11-01T00:00:00"/>
    <x v="16"/>
    <m/>
  </r>
  <r>
    <s v="F-1075"/>
    <s v="P202307"/>
    <x v="1"/>
    <d v="2023-11-01T00:00:00"/>
    <s v="Kunaq"/>
    <s v="FU-2023.3-017 "/>
    <s v="E001-3361"/>
    <d v="2023-10-01T00:00:00"/>
    <s v="OS00001394"/>
    <s v="Portal del cliente-parte 2"/>
    <n v="3"/>
    <s v="Cuota 1/3 - 30%. Parte 2"/>
    <n v="3000"/>
    <n v="10000"/>
    <s v="SOL"/>
    <n v="3000"/>
    <x v="0"/>
    <s v="Perú"/>
    <s v="SAC&amp;Parque"/>
    <s v="Cancelado"/>
    <d v="2023-12-14T00:00:00"/>
    <d v="2023-11-01T00:00:00"/>
    <x v="16"/>
    <s v="Portal web del cliente"/>
  </r>
  <r>
    <s v="F-1076"/>
    <s v=""/>
    <x v="1"/>
    <d v="2023-12-01T00:00:00"/>
    <s v="Kunaq"/>
    <m/>
    <s v="E001-3418"/>
    <m/>
    <s v="OS00001225"/>
    <s v="Mantenimiento SG5 // Feb 23 - Ene 24"/>
    <n v="11"/>
    <s v="Cuota 11/12 (Dic)"/>
    <n v="5100"/>
    <n v="61200"/>
    <s v="SOL"/>
    <n v="5100"/>
    <x v="1"/>
    <s v="Perú"/>
    <s v="Operaciones"/>
    <s v="Cancelado"/>
    <d v="2024-01-05T00:00:00"/>
    <d v="2023-12-01T00:00:00"/>
    <x v="17"/>
    <m/>
  </r>
  <r>
    <s v="F-1077"/>
    <s v="P202313"/>
    <x v="1"/>
    <d v="2024-08-01T00:00:00"/>
    <s v="Kunaq"/>
    <s v="FU-2023.3-021"/>
    <m/>
    <d v="2023-10-01T00:00:00"/>
    <s v="OS00001281"/>
    <s v="Modificación en la distribución de espacios"/>
    <n v="2"/>
    <s v="Cuota 2/2 - 50% "/>
    <n v="5600"/>
    <n v="11200"/>
    <s v="SOL"/>
    <n v="5600"/>
    <x v="0"/>
    <s v="Perú"/>
    <s v="Operaciones"/>
    <m/>
    <m/>
    <m/>
    <x v="18"/>
    <m/>
  </r>
  <r>
    <s v="F-1078"/>
    <s v="P202307"/>
    <x v="1"/>
    <d v="2023-12-01T00:00:00"/>
    <s v="Kunaq"/>
    <s v="FU-2023.3-017 "/>
    <s v="E001-3457"/>
    <d v="2023-10-01T00:00:00"/>
    <s v="OS00001394"/>
    <s v="Portal del cliente-parte 2"/>
    <n v="3"/>
    <s v="Cuota 2/3 - 35%. Parte 2"/>
    <n v="3500"/>
    <n v="10000"/>
    <s v="SOL"/>
    <n v="3500"/>
    <x v="0"/>
    <s v="Perú"/>
    <s v="SAC&amp;Parque"/>
    <s v="Cancelado"/>
    <d v="2024-01-15T00:00:00"/>
    <d v="2024-01-01T00:00:00"/>
    <x v="17"/>
    <s v="Portal web del cliente"/>
  </r>
  <r>
    <s v="F-1079"/>
    <s v="P202310"/>
    <x v="1"/>
    <d v="2023-12-01T00:00:00"/>
    <s v="Kunaq"/>
    <s v="FU-2023.4-025"/>
    <s v="E001-3458"/>
    <d v="2023-11-01T00:00:00"/>
    <s v="OS00001486"/>
    <s v="Tratamiento de datos- SG5"/>
    <n v="1"/>
    <s v="Cuota 1/2 - 50% "/>
    <n v="5550"/>
    <n v="11100"/>
    <s v="SOL"/>
    <n v="5550"/>
    <x v="0"/>
    <s v="Perú"/>
    <s v="Operaciones"/>
    <s v="Cancelado"/>
    <d v="2024-01-15T00:00:00"/>
    <d v="2024-01-01T00:00:00"/>
    <x v="17"/>
    <m/>
  </r>
  <r>
    <s v="F-1080"/>
    <s v="P202312"/>
    <x v="1"/>
    <d v="2023-12-01T00:00:00"/>
    <s v="Kunaq"/>
    <s v="FU-2023.4-022"/>
    <s v="E001-3459"/>
    <d v="2023-11-01T00:00:00"/>
    <s v="OS00001487"/>
    <s v="Contratos digitales - Parte 2"/>
    <n v="1"/>
    <s v="Cuota 1/2 - 50% "/>
    <n v="6260"/>
    <n v="12520"/>
    <s v="SOL"/>
    <n v="6260"/>
    <x v="0"/>
    <s v="Perú"/>
    <s v="Operaciones"/>
    <s v="Cancelado"/>
    <d v="2024-01-15T00:00:00"/>
    <d v="2024-01-01T00:00:00"/>
    <x v="17"/>
    <m/>
  </r>
  <r>
    <s v="F-1081"/>
    <s v="P202315"/>
    <x v="1"/>
    <d v="2023-12-01T00:00:00"/>
    <s v="Kunaq"/>
    <m/>
    <s v="E001-3460"/>
    <d v="2023-11-01T00:00:00"/>
    <s v="OS00001488"/>
    <s v="Carencia por sede"/>
    <n v="1"/>
    <s v="Cuota 1/2 - 50% "/>
    <n v="1850"/>
    <n v="3700"/>
    <s v="SOL"/>
    <n v="1850"/>
    <x v="0"/>
    <s v="Perú"/>
    <s v="Operaciones"/>
    <s v="Cancelado"/>
    <d v="2024-01-15T00:00:00"/>
    <d v="2024-01-01T00:00:00"/>
    <x v="17"/>
    <m/>
  </r>
  <r>
    <s v="F-1082"/>
    <s v="P202312"/>
    <x v="1"/>
    <d v="2023-12-01T00:00:00"/>
    <s v="BigDavi"/>
    <s v="FU-2023.4-024"/>
    <s v="F001 - 00000437"/>
    <d v="2023-11-01T00:00:00"/>
    <s v="OS00001489"/>
    <s v="Modificación proceso de firma"/>
    <m/>
    <s v="Cuota 1/2 - 50% "/>
    <n v="1050"/>
    <n v="2100"/>
    <s v="DOL"/>
    <n v="8715"/>
    <x v="0"/>
    <s v="Perú"/>
    <s v="Operaciones"/>
    <s v="Cancelado"/>
    <d v="2024-01-03T00:00:00"/>
    <d v="2023-12-22T00:00:00"/>
    <x v="17"/>
    <m/>
  </r>
  <r>
    <s v="F-1083"/>
    <s v="P202315"/>
    <x v="1"/>
    <d v="2023-12-01T00:00:00"/>
    <s v="Avanza"/>
    <m/>
    <s v="E001-1031"/>
    <d v="2023-11-01T00:00:00"/>
    <s v="OS00001490"/>
    <s v="Implementación sede Arequipa en  CRM"/>
    <n v="1"/>
    <s v="Cuota única"/>
    <n v="2210"/>
    <n v="2210"/>
    <s v="SOL"/>
    <n v="2210"/>
    <x v="0"/>
    <s v="Perú"/>
    <s v="Operaciones"/>
    <s v="Cancelado"/>
    <d v="2024-01-12T00:00:00"/>
    <d v="2024-01-11T00:00:00"/>
    <x v="17"/>
    <m/>
  </r>
  <r>
    <s v="F-1084"/>
    <s v="P202305"/>
    <x v="1"/>
    <d v="2024-08-01T00:00:00"/>
    <s v="Kunaq"/>
    <s v="FU-2023.4-023"/>
    <m/>
    <d v="2023-10-01T00:00:00"/>
    <s v="OS00001393"/>
    <s v="Implementación de las NIIF"/>
    <n v="2"/>
    <s v="Cuota 2/2 - 50% "/>
    <n v="7150"/>
    <n v="14300"/>
    <s v="SOL"/>
    <n v="7150"/>
    <x v="0"/>
    <s v="Perú"/>
    <s v="Adm&amp;Fin"/>
    <m/>
    <m/>
    <m/>
    <x v="18"/>
    <m/>
  </r>
  <r>
    <s v="F-1085"/>
    <s v="P202307"/>
    <x v="1"/>
    <d v="2024-05-01T00:00:00"/>
    <s v="Kunaq"/>
    <s v="FU-2023.3-017 "/>
    <s v="E001-3853"/>
    <d v="2023-10-01T00:00:00"/>
    <s v="OS00001394"/>
    <s v="Portal del cliente-parte 2"/>
    <n v="3"/>
    <s v="Cuota 3/3 -  35%"/>
    <n v="3500"/>
    <n v="10000"/>
    <s v="SOL"/>
    <n v="3500"/>
    <x v="0"/>
    <s v="Perú"/>
    <s v="SAC&amp;Parque"/>
    <s v="Cancelado"/>
    <d v="2024-06-20T00:00:00"/>
    <d v="2024-06-13T00:00:00"/>
    <x v="19"/>
    <s v="Portal web del cliente"/>
  </r>
  <r>
    <s v="F-1086"/>
    <s v=""/>
    <x v="1"/>
    <d v="2024-01-04T00:00:00"/>
    <s v="Kunaq"/>
    <m/>
    <s v="E001-3493"/>
    <m/>
    <s v="OS00001225"/>
    <s v="Mantenimiento SG5 // Feb 23 - Ene 24"/>
    <n v="12"/>
    <s v="Cuota 12/12 (Ene)"/>
    <n v="5100"/>
    <n v="61200"/>
    <s v="SOL"/>
    <n v="5100"/>
    <x v="1"/>
    <s v="Perú"/>
    <s v="Operaciones"/>
    <s v="Cancelado"/>
    <m/>
    <d v="2024-01-25T00:00:00"/>
    <x v="20"/>
    <m/>
  </r>
  <r>
    <s v="F-1087"/>
    <s v="P202310"/>
    <x v="1"/>
    <d v="2024-08-01T00:00:00"/>
    <s v="Kunaq"/>
    <s v="FU-2023.4-025"/>
    <m/>
    <d v="2023-11-01T00:00:00"/>
    <s v="OS00001486"/>
    <s v="Tratamiento de datos- SG5"/>
    <n v="2"/>
    <s v="Cuota 2/2 - 50% "/>
    <n v="5550"/>
    <n v="11100"/>
    <s v="SOL"/>
    <n v="5550"/>
    <x v="0"/>
    <s v="Perú"/>
    <s v="Operaciones"/>
    <m/>
    <m/>
    <m/>
    <x v="18"/>
    <m/>
  </r>
  <r>
    <s v="F-1088"/>
    <s v="P202312"/>
    <x v="1"/>
    <d v="2024-08-01T00:00:00"/>
    <s v="Kunaq"/>
    <s v="FU-2023.4-022"/>
    <m/>
    <d v="2023-11-01T00:00:00"/>
    <s v="OS00001487"/>
    <s v="Contratos digitales - Parte 2"/>
    <n v="2"/>
    <s v="Cuota 2/2 - 50%"/>
    <n v="6260"/>
    <n v="12520"/>
    <s v="SOL"/>
    <n v="6260"/>
    <x v="0"/>
    <s v="Perú"/>
    <s v="Operaciones"/>
    <m/>
    <m/>
    <m/>
    <x v="18"/>
    <m/>
  </r>
  <r>
    <s v="F-1089"/>
    <s v="P202315"/>
    <x v="1"/>
    <d v="2024-01-01T00:00:00"/>
    <s v="Kunaq"/>
    <m/>
    <s v="E001-3542"/>
    <d v="2023-11-01T00:00:00"/>
    <s v="OS00001488"/>
    <s v="Carencia por sede"/>
    <n v="2"/>
    <s v="Cuota 2/2 - 50% "/>
    <n v="1850"/>
    <n v="3700"/>
    <s v="SOL"/>
    <n v="1850"/>
    <x v="0"/>
    <s v="Perú"/>
    <s v="Operaciones"/>
    <s v="Cancelado"/>
    <d v="2024-02-24T00:00:00"/>
    <d v="2024-02-22T00:00:00"/>
    <x v="20"/>
    <m/>
  </r>
  <r>
    <s v="F-1090"/>
    <s v="P202312"/>
    <x v="1"/>
    <d v="2024-08-01T00:00:00"/>
    <s v="BigDavi"/>
    <s v="FU-2023.4-024"/>
    <m/>
    <d v="2023-11-01T00:00:00"/>
    <s v="OS00001489"/>
    <s v="Modificación proceso de firma"/>
    <n v="2"/>
    <s v="Cuota 2/2 - 50% "/>
    <n v="1050"/>
    <n v="2100"/>
    <s v="DOL"/>
    <n v="8715"/>
    <x v="0"/>
    <s v="Perú"/>
    <s v="Operaciones"/>
    <m/>
    <m/>
    <m/>
    <x v="18"/>
    <m/>
  </r>
  <r>
    <s v="F-1091"/>
    <s v="P202309"/>
    <x v="1"/>
    <d v="2023-12-01T00:00:00"/>
    <s v="Kunaq"/>
    <m/>
    <s v="E001-3461"/>
    <d v="2023-11-01T00:00:00"/>
    <s v="OS00001499"/>
    <s v="Pago ventanilla Caja Arequipa"/>
    <n v="1"/>
    <s v="Cuota 1/2 - 50% "/>
    <n v="1210"/>
    <n v="2420"/>
    <s v="SOL"/>
    <n v="1210"/>
    <x v="0"/>
    <s v="Perú"/>
    <s v="Operaciones"/>
    <s v="Cancelado"/>
    <d v="2024-01-15T00:00:00"/>
    <d v="2024-01-01T00:00:00"/>
    <x v="17"/>
    <m/>
  </r>
  <r>
    <s v="F-1092"/>
    <s v="P202309"/>
    <x v="1"/>
    <d v="2024-04-01T00:00:00"/>
    <s v="Kunaq"/>
    <m/>
    <s v="E001-3677"/>
    <d v="2023-11-01T00:00:00"/>
    <s v="OS00001499"/>
    <s v="Pago ventanilla Caja Arequipa"/>
    <n v="2"/>
    <s v="Cuota 2/2 - 50% "/>
    <n v="1210"/>
    <n v="2420"/>
    <s v="SOL"/>
    <n v="1210"/>
    <x v="0"/>
    <s v="Perú"/>
    <s v="Operaciones"/>
    <s v="Cancelado"/>
    <d v="2024-04-15T00:00:00"/>
    <d v="2024-04-12T00:00:00"/>
    <x v="21"/>
    <m/>
  </r>
  <r>
    <s v="F-1093"/>
    <s v="P202312"/>
    <x v="1"/>
    <d v="2023-12-01T00:00:00"/>
    <s v="Kunaq"/>
    <m/>
    <s v="E001-3462"/>
    <d v="2023-11-01T00:00:00"/>
    <s v="OS00001512"/>
    <s v="Contratos digitales - Parte 1"/>
    <n v="1"/>
    <s v="Cuota única"/>
    <n v="2560"/>
    <n v="2560"/>
    <s v="SOL"/>
    <n v="2560"/>
    <x v="0"/>
    <s v="Perú"/>
    <s v="Operaciones"/>
    <s v="Cancelado"/>
    <d v="2024-01-15T00:00:00"/>
    <d v="2024-01-01T00:00:00"/>
    <x v="17"/>
    <m/>
  </r>
  <r>
    <s v="F-1094"/>
    <s v="P202307"/>
    <x v="1"/>
    <d v="2024-01-01T00:00:00"/>
    <s v="Exe"/>
    <m/>
    <s v="FFF1-001910"/>
    <d v="2023-12-01T00:00:00"/>
    <s v="OS00001579"/>
    <s v="Portal del cliente- modificación de la web"/>
    <n v="1"/>
    <s v="Cuota única"/>
    <n v="200"/>
    <n v="200"/>
    <s v="DOL"/>
    <n v="1660.0000000000002"/>
    <x v="0"/>
    <s v="Perú"/>
    <s v="Operaciones"/>
    <s v="Cancelado"/>
    <d v="2024-02-25T00:00:00"/>
    <d v="2024-02-08T00:00:00"/>
    <x v="20"/>
    <s v="Portal web del cliente"/>
  </r>
  <r>
    <s v="F-1095"/>
    <s v="no registrar"/>
    <x v="1"/>
    <d v="2024-01-01T00:00:00"/>
    <s v="BigDavi"/>
    <m/>
    <m/>
    <m/>
    <s v="OS00001578"/>
    <s v="Contrato digital"/>
    <n v="1"/>
    <s v="Cuota única "/>
    <n v="4125"/>
    <n v="4125"/>
    <s v="SOL"/>
    <n v="4125"/>
    <x v="1"/>
    <s v="Perú"/>
    <s v="Operaciones"/>
    <m/>
    <m/>
    <m/>
    <x v="20"/>
    <m/>
  </r>
  <r>
    <s v="F-1096"/>
    <s v="P202301"/>
    <x v="1"/>
    <d v="2023-12-01T00:00:00"/>
    <s v="Kunaq"/>
    <s v="FU-2023.2-014"/>
    <s v="E001-3483"/>
    <d v="2023-12-01T00:00:00"/>
    <s v="OS00001551"/>
    <s v="Optimización de SG5 planillas - Desarrollos"/>
    <n v="1"/>
    <s v="Cuota 1/5 - 30% "/>
    <n v="7350"/>
    <n v="24500"/>
    <s v="SOL"/>
    <n v="7350"/>
    <x v="0"/>
    <s v="Perú"/>
    <s v="GDH"/>
    <s v="Cancelado"/>
    <d v="2024-01-20T00:00:00"/>
    <d v="2024-01-18T00:00:00"/>
    <x v="17"/>
    <s v="Planillas"/>
  </r>
  <r>
    <s v="F-1097"/>
    <s v="P202301"/>
    <x v="1"/>
    <d v="2024-02-01T00:00:00"/>
    <s v="Kunaq"/>
    <s v="FU-2023.2-014"/>
    <s v="E001-3605"/>
    <d v="2023-12-01T00:00:00"/>
    <s v="OS00001551"/>
    <s v="Optimización de SG5 planillas - Desarrollos"/>
    <n v="2"/>
    <s v="Cuota 2/5 - 17.5%"/>
    <n v="4287.5"/>
    <n v="24500"/>
    <s v="SOL"/>
    <n v="4287.5"/>
    <x v="0"/>
    <s v="Perú"/>
    <s v="GDH"/>
    <s v="Cancelado"/>
    <d v="2024-03-15T00:00:00"/>
    <d v="2024-03-14T00:00:00"/>
    <x v="22"/>
    <s v="Planillas"/>
  </r>
  <r>
    <s v="F-1098"/>
    <s v="P202301"/>
    <x v="1"/>
    <d v="2024-04-01T00:00:00"/>
    <s v="Kunaq"/>
    <s v="FU-2023.2-014"/>
    <s v="E001-3724"/>
    <d v="2023-12-01T00:00:00"/>
    <s v="OS00001551"/>
    <s v="Optimización de SG5 planillas - Desarrollos"/>
    <n v="3"/>
    <s v="Cuota 3/5 - 17.5%"/>
    <n v="4287.5"/>
    <n v="24500"/>
    <s v="SOL"/>
    <n v="4287.5"/>
    <x v="0"/>
    <s v="Perú"/>
    <s v="GDH"/>
    <s v="Cancelado"/>
    <d v="2024-05-04T00:00:00"/>
    <d v="2024-05-03T00:00:00"/>
    <x v="21"/>
    <s v="Planillas"/>
  </r>
  <r>
    <s v="F-1099"/>
    <s v="P202301"/>
    <x v="1"/>
    <d v="2024-08-01T00:00:00"/>
    <s v="Kunaq"/>
    <s v="FU-2023.2-014"/>
    <m/>
    <d v="2023-12-01T00:00:00"/>
    <s v="OS00001551"/>
    <s v="Optimización de SG5 planillas - Desarrollos"/>
    <n v="4"/>
    <s v="Cuota 4/5 - 17.5%"/>
    <n v="4287.5"/>
    <n v="24500"/>
    <s v="SOL"/>
    <n v="4287.5"/>
    <x v="0"/>
    <s v="Perú"/>
    <s v="GDH"/>
    <m/>
    <m/>
    <m/>
    <x v="18"/>
    <s v="Planillas"/>
  </r>
  <r>
    <s v="F-1100"/>
    <s v="P202301"/>
    <x v="1"/>
    <d v="2024-09-01T00:00:00"/>
    <s v="Kunaq"/>
    <s v="FU-2023.2-014"/>
    <m/>
    <d v="2023-12-01T00:00:00"/>
    <s v="OS00001551"/>
    <s v="Optimización de SG5 planillas - Desarrollos"/>
    <n v="5"/>
    <s v="Cuota 5/5 - 17.5%"/>
    <n v="4287.5"/>
    <n v="24500"/>
    <s v="SOL"/>
    <n v="4287.5"/>
    <x v="0"/>
    <s v="Perú"/>
    <s v="GDH"/>
    <m/>
    <m/>
    <m/>
    <x v="23"/>
    <s v="Planillas"/>
  </r>
  <r>
    <s v="F-1101"/>
    <s v="P202305"/>
    <x v="1"/>
    <d v="2023-12-01T00:00:00"/>
    <s v="Kunaq"/>
    <s v="FU-2023.4-023"/>
    <s v="E001-3481"/>
    <d v="2023-12-01T00:00:00"/>
    <s v="OS00001552"/>
    <s v="Implementación de las NIIF"/>
    <n v="1"/>
    <s v="Cuota 1/5 - 30% "/>
    <n v="4410"/>
    <n v="14700"/>
    <s v="SOL"/>
    <n v="4410"/>
    <x v="0"/>
    <s v="Perú"/>
    <s v="Adm&amp;Fin"/>
    <s v="Cancelado"/>
    <d v="2024-01-20T00:00:00"/>
    <d v="2024-01-18T00:00:00"/>
    <x v="17"/>
    <m/>
  </r>
  <r>
    <s v="F-1102"/>
    <s v="P202305"/>
    <x v="1"/>
    <d v="2024-03-01T00:00:00"/>
    <s v="Kunaq"/>
    <s v="FU-2023.4-023"/>
    <s v="E001-3676"/>
    <d v="2023-12-01T00:00:00"/>
    <s v="OS00001552"/>
    <s v="Implementación de las NIIF"/>
    <n v="2"/>
    <s v="Cuota 2/5 - 17.5%"/>
    <n v="2572.5"/>
    <n v="14700"/>
    <s v="SOL"/>
    <n v="2572.5"/>
    <x v="0"/>
    <s v="Perú"/>
    <s v="Adm&amp;Fin"/>
    <s v="Cancelado"/>
    <d v="2024-04-15T00:00:00"/>
    <d v="2024-04-12T00:00:00"/>
    <x v="24"/>
    <m/>
  </r>
  <r>
    <s v="F-1103"/>
    <s v="P202305"/>
    <x v="1"/>
    <d v="2024-04-01T00:00:00"/>
    <s v="Kunaq"/>
    <s v="FU-2023.4-023"/>
    <s v="E001-3725"/>
    <d v="2023-12-01T00:00:00"/>
    <s v="OS00001552"/>
    <s v="Implementación de las NIIF"/>
    <n v="3"/>
    <s v="Cuota 3/5 - 17.5%"/>
    <n v="2572.5"/>
    <n v="14700"/>
    <s v="SOL"/>
    <n v="2572.5"/>
    <x v="0"/>
    <s v="Perú"/>
    <s v="Adm&amp;Fin"/>
    <s v="Cancelado"/>
    <d v="2024-05-04T00:00:00"/>
    <d v="2024-05-03T00:00:00"/>
    <x v="21"/>
    <m/>
  </r>
  <r>
    <s v="F-1104"/>
    <s v="P202305"/>
    <x v="1"/>
    <d v="2024-09-01T00:00:00"/>
    <s v="Kunaq"/>
    <s v="FU-2023.4-023"/>
    <m/>
    <d v="2023-12-01T00:00:00"/>
    <s v="OS00001552"/>
    <s v="Implementación de las NIIF"/>
    <n v="4"/>
    <s v="Cuota 4/5 - 17.5%"/>
    <n v="2572.5"/>
    <n v="14700"/>
    <s v="SOL"/>
    <n v="2572.5"/>
    <x v="0"/>
    <s v="Perú"/>
    <s v="Adm&amp;Fin"/>
    <m/>
    <m/>
    <m/>
    <x v="23"/>
    <m/>
  </r>
  <r>
    <s v="F-1105"/>
    <s v="P202305"/>
    <x v="1"/>
    <d v="2024-09-01T00:00:00"/>
    <s v="Kunaq"/>
    <s v="FU-2023.4-023"/>
    <m/>
    <d v="2023-12-01T00:00:00"/>
    <s v="OS00001552"/>
    <s v="Implementación de las NIIF"/>
    <n v="5"/>
    <s v="Cuota 5/5 - 17.5%"/>
    <n v="2572.5"/>
    <n v="14700"/>
    <s v="SOL"/>
    <n v="2572.5"/>
    <x v="0"/>
    <s v="Perú"/>
    <s v="Adm&amp;Fin"/>
    <m/>
    <m/>
    <m/>
    <x v="23"/>
    <m/>
  </r>
  <r>
    <s v="F-1106"/>
    <s v="P202302"/>
    <x v="1"/>
    <d v="2023-12-01T00:00:00"/>
    <s v="Kunaq"/>
    <s v="FU-2023.1-006"/>
    <s v="E001-3484"/>
    <d v="2023-12-01T00:00:00"/>
    <s v="OS00001553"/>
    <s v="Proceso vacaciones web (apariencia)"/>
    <n v="1"/>
    <s v="Cuota 1/2 - 50% "/>
    <n v="5000"/>
    <n v="10000"/>
    <s v="SOL"/>
    <n v="5000"/>
    <x v="0"/>
    <s v="Perú"/>
    <s v="GDH"/>
    <s v="Cancelado"/>
    <d v="2024-01-20T00:00:00"/>
    <d v="2024-01-18T00:00:00"/>
    <x v="17"/>
    <m/>
  </r>
  <r>
    <s v="F-1107"/>
    <s v="P202302"/>
    <x v="1"/>
    <d v="2024-09-01T00:00:00"/>
    <s v="Kunaq"/>
    <s v="FU-2023.1-006"/>
    <m/>
    <d v="2023-12-01T00:00:00"/>
    <s v="OS00001553"/>
    <s v="Proceso vacaciones web (apariencia)"/>
    <n v="2"/>
    <s v="Cuota 2/2 - 50% "/>
    <n v="5000"/>
    <n v="10000"/>
    <s v="SOL"/>
    <n v="5000"/>
    <x v="0"/>
    <s v="Perú"/>
    <s v="GDH"/>
    <m/>
    <m/>
    <m/>
    <x v="23"/>
    <m/>
  </r>
  <r>
    <s v="F-1108"/>
    <s v="P202307"/>
    <x v="1"/>
    <d v="2023-12-01T00:00:00"/>
    <s v="Kunaq"/>
    <s v="FU-2023.3-017 "/>
    <s v="E001-3482"/>
    <d v="2023-12-01T00:00:00"/>
    <s v="OS00001554"/>
    <s v="Portal del cliente-parte 3"/>
    <n v="1"/>
    <s v="Cuota 1/3 - 30% "/>
    <n v="2034"/>
    <n v="6780"/>
    <s v="SOL"/>
    <n v="2034"/>
    <x v="0"/>
    <s v="Perú"/>
    <s v="Operaciones"/>
    <s v="Cancelado"/>
    <d v="2024-01-20T00:00:00"/>
    <d v="2024-01-18T00:00:00"/>
    <x v="17"/>
    <s v="Portal web del cliente"/>
  </r>
  <r>
    <s v="F-1109"/>
    <s v="P202307"/>
    <x v="1"/>
    <d v="2024-01-01T00:00:00"/>
    <s v="Kunaq"/>
    <s v="FU-2023.3-017 "/>
    <s v="E001-3541"/>
    <d v="2023-12-01T00:00:00"/>
    <s v="OS00001554"/>
    <s v="Portal del cliente-parte 3"/>
    <n v="2"/>
    <s v="Cuota 2/3 - 35% "/>
    <n v="2373"/>
    <n v="6780"/>
    <s v="SOL"/>
    <n v="2373"/>
    <x v="0"/>
    <s v="Perú"/>
    <s v="Operaciones"/>
    <s v="Cancelado"/>
    <d v="2024-02-24T00:00:00"/>
    <d v="2024-02-22T00:00:00"/>
    <x v="20"/>
    <s v="Portal web del cliente"/>
  </r>
  <r>
    <s v="F-1110"/>
    <s v="P202307"/>
    <x v="1"/>
    <d v="2024-05-01T00:00:00"/>
    <s v="Kunaq"/>
    <s v="FU-2023.3-017 "/>
    <s v="E001-3852"/>
    <d v="2023-12-01T00:00:00"/>
    <s v="OS00001554"/>
    <s v="Portal del cliente-parte 3"/>
    <n v="3"/>
    <s v="Cuota 3/3 - 35%"/>
    <n v="2373"/>
    <n v="6780"/>
    <s v="SOL"/>
    <n v="2373"/>
    <x v="0"/>
    <s v="Perú"/>
    <s v="Operaciones"/>
    <s v="Cancelado"/>
    <d v="2024-06-20T00:00:00"/>
    <d v="2024-06-13T00:00:00"/>
    <x v="19"/>
    <s v="Portal web del cliente"/>
  </r>
  <r>
    <s v="F-1111"/>
    <s v="P202317"/>
    <x v="1"/>
    <d v="2023-12-01T00:00:00"/>
    <s v="Kunaq"/>
    <s v="FU-2023.4-026"/>
    <s v="E001-3480"/>
    <d v="2023-12-01T00:00:00"/>
    <s v="OS00001550"/>
    <s v="Ubicación de espacios y fallecidos"/>
    <n v="1"/>
    <s v="Cuota 1/5 - 30% "/>
    <n v="6900"/>
    <n v="23000"/>
    <s v="SOL"/>
    <n v="6900"/>
    <x v="0"/>
    <s v="Perú"/>
    <s v="Comercial"/>
    <s v="Cancelado"/>
    <d v="2024-01-20T00:00:00"/>
    <d v="2024-01-18T00:00:00"/>
    <x v="17"/>
    <m/>
  </r>
  <r>
    <s v="F-1112"/>
    <s v="P202317"/>
    <x v="1"/>
    <d v="2024-08-01T00:00:00"/>
    <s v="Kunaq"/>
    <s v="FU-2023.4-026"/>
    <m/>
    <d v="2023-12-01T00:00:00"/>
    <s v="OS00001550"/>
    <s v="Ubicación de espacios y fallecidos"/>
    <n v="2"/>
    <s v="Cuota 2/5 - 17.5%"/>
    <n v="4024.9999999999995"/>
    <n v="23000"/>
    <s v="SOL"/>
    <n v="4024.9999999999995"/>
    <x v="0"/>
    <s v="Perú"/>
    <s v="Comercial"/>
    <m/>
    <m/>
    <m/>
    <x v="18"/>
    <m/>
  </r>
  <r>
    <s v="F-1113"/>
    <s v="P202317"/>
    <x v="1"/>
    <d v="2024-09-01T00:00:00"/>
    <s v="Kunaq"/>
    <s v="FU-2023.4-026"/>
    <m/>
    <d v="2023-12-01T00:00:00"/>
    <s v="OS00001550"/>
    <s v="Ubicación de espacios y fallecidos"/>
    <n v="3"/>
    <s v="Cuota 3/5 - 17.5%"/>
    <n v="4024.9999999999995"/>
    <n v="23000"/>
    <s v="SOL"/>
    <n v="4024.9999999999995"/>
    <x v="0"/>
    <s v="Perú"/>
    <s v="Comercial"/>
    <m/>
    <m/>
    <m/>
    <x v="23"/>
    <m/>
  </r>
  <r>
    <s v="F-1114"/>
    <s v="P202317"/>
    <x v="1"/>
    <d v="2024-08-01T00:00:00"/>
    <s v="Kunaq"/>
    <s v="FU-2023.4-026"/>
    <m/>
    <d v="2023-12-01T00:00:00"/>
    <s v="OS00001550"/>
    <s v="Ubicación de espacios y fallecidos"/>
    <n v="4"/>
    <s v="Cuota 4/5 - 17.5%"/>
    <n v="4024.9999999999995"/>
    <n v="23000"/>
    <s v="SOL"/>
    <n v="4024.9999999999995"/>
    <x v="0"/>
    <s v="Perú"/>
    <s v="Comercial"/>
    <m/>
    <m/>
    <m/>
    <x v="18"/>
    <m/>
  </r>
  <r>
    <s v="F-1115"/>
    <s v="P202317"/>
    <x v="1"/>
    <d v="2024-09-01T00:00:00"/>
    <s v="Kunaq"/>
    <s v="FU-2023.4-026"/>
    <m/>
    <d v="2023-12-01T00:00:00"/>
    <s v="OS00001550"/>
    <s v="Ubicación de espacios y fallecidos"/>
    <n v="5"/>
    <s v="Cuota 5/5 - 17.5%"/>
    <n v="4024.9999999999995"/>
    <n v="23000"/>
    <s v="SOL"/>
    <n v="4024.9999999999995"/>
    <x v="0"/>
    <s v="Perú"/>
    <s v="Comercial"/>
    <m/>
    <m/>
    <m/>
    <x v="23"/>
    <m/>
  </r>
  <r>
    <s v="F-1116"/>
    <m/>
    <x v="2"/>
    <d v="2024-02-07T00:00:00"/>
    <s v="Kunaq"/>
    <m/>
    <s v="E001-3604"/>
    <d v="2024-01-01T00:00:00"/>
    <s v="OS00001655"/>
    <s v="Mantenimiento SG5 // Feb 24 - Ene 25"/>
    <n v="1"/>
    <s v="Cuota 1/12 (Feb)"/>
    <n v="5100"/>
    <n v="61200"/>
    <s v="SOL"/>
    <n v="5100"/>
    <x v="1"/>
    <s v="Perú"/>
    <s v="Operaciones"/>
    <s v="Cancelado"/>
    <d v="2024-03-15T00:00:00"/>
    <d v="2024-02-22T00:00:00"/>
    <x v="22"/>
    <m/>
  </r>
  <r>
    <s v="F-1117"/>
    <m/>
    <x v="2"/>
    <d v="2024-03-01T00:00:00"/>
    <s v="Kunaq"/>
    <m/>
    <s v="E001-3652"/>
    <d v="2024-01-01T00:00:00"/>
    <s v="OS00001655"/>
    <s v="Mantenimiento SG5 // Feb 24 - Ene 25"/>
    <n v="2"/>
    <s v="Cuota 2/12 (Mar)"/>
    <n v="5100"/>
    <n v="61200"/>
    <s v="SOL"/>
    <n v="5100"/>
    <x v="1"/>
    <s v="Perú"/>
    <s v="Operaciones"/>
    <s v="Cancelado"/>
    <d v="2024-04-06T00:00:00"/>
    <d v="2024-03-26T00:00:00"/>
    <x v="24"/>
    <m/>
  </r>
  <r>
    <s v="F-1118"/>
    <m/>
    <x v="2"/>
    <d v="2024-03-01T00:00:00"/>
    <s v="Kunaq"/>
    <m/>
    <s v="E001-3723"/>
    <d v="2024-01-01T00:00:00"/>
    <s v="OS00001655"/>
    <s v="Mantenimiento SG5 // Feb 24 - Ene 25"/>
    <n v="3"/>
    <s v="Cuota 3/12 (Abr)"/>
    <n v="5100"/>
    <n v="61200"/>
    <s v="SOL"/>
    <n v="5100"/>
    <x v="1"/>
    <s v="Perú"/>
    <s v="Operaciones"/>
    <s v="Cancelado"/>
    <d v="2024-04-25T00:00:00"/>
    <d v="2024-05-03T00:00:00"/>
    <x v="24"/>
    <m/>
  </r>
  <r>
    <s v="F-1119"/>
    <m/>
    <x v="2"/>
    <d v="2024-04-01T00:00:00"/>
    <s v="Kunaq"/>
    <m/>
    <s v="E001-3828"/>
    <d v="2024-01-01T00:00:00"/>
    <s v="OS00001655"/>
    <s v="Mantenimiento SG5 // Feb 24 - Ene 25"/>
    <n v="4"/>
    <s v="Cuota 4/12 (May)"/>
    <n v="5100"/>
    <n v="61200"/>
    <s v="SOL"/>
    <n v="5100"/>
    <x v="1"/>
    <s v="Perú"/>
    <s v="Operaciones"/>
    <s v="Cancelado"/>
    <d v="2024-05-24T00:00:00"/>
    <d v="2024-05-23T00:00:00"/>
    <x v="21"/>
    <m/>
  </r>
  <r>
    <s v="F-1120"/>
    <m/>
    <x v="2"/>
    <d v="2024-06-01T00:00:00"/>
    <s v="Kunaq"/>
    <m/>
    <s v="E001-3910"/>
    <d v="2024-01-01T00:00:00"/>
    <s v="OS00001655"/>
    <s v="Mantenimiento SG5 // Feb 24 - Ene 25"/>
    <n v="5"/>
    <s v="Cuota 5/12 (Jun)"/>
    <n v="5100"/>
    <n v="61200"/>
    <s v="SOL"/>
    <n v="5100"/>
    <x v="1"/>
    <s v="Perú"/>
    <s v="Operaciones"/>
    <s v="Pendiente"/>
    <d v="2024-07-11T00:00:00"/>
    <m/>
    <x v="15"/>
    <m/>
  </r>
  <r>
    <s v="F-1121"/>
    <m/>
    <x v="2"/>
    <d v="2024-07-01T00:00:00"/>
    <s v="Kunaq"/>
    <m/>
    <s v="E001-3988"/>
    <d v="2024-01-01T00:00:00"/>
    <s v="OS00001655"/>
    <s v="Mantenimiento SG5 // Feb 24 - Ene 25"/>
    <n v="6"/>
    <s v="Cuota 6/12 (Jul)"/>
    <n v="5100"/>
    <n v="61200"/>
    <s v="SOL"/>
    <n v="5100"/>
    <x v="1"/>
    <s v="Perú"/>
    <s v="Operaciones"/>
    <s v="Pendiente"/>
    <d v="2024-08-05T00:00:00"/>
    <m/>
    <x v="25"/>
    <m/>
  </r>
  <r>
    <s v="F-1122"/>
    <m/>
    <x v="2"/>
    <d v="2024-08-01T00:00:00"/>
    <s v="Kunaq"/>
    <m/>
    <m/>
    <d v="2024-01-01T00:00:00"/>
    <s v="OS00001655"/>
    <s v="Mantenimiento SG5 // Feb 24 - Ene 25"/>
    <n v="7"/>
    <s v="Cuota 7/12 (Ago)"/>
    <n v="5100"/>
    <n v="61200"/>
    <s v="SOL"/>
    <n v="5100"/>
    <x v="1"/>
    <s v="Perú"/>
    <s v="Operaciones"/>
    <m/>
    <m/>
    <m/>
    <x v="18"/>
    <m/>
  </r>
  <r>
    <s v="F-1123"/>
    <m/>
    <x v="2"/>
    <d v="2024-09-01T00:00:00"/>
    <s v="Kunaq"/>
    <m/>
    <m/>
    <d v="2024-01-01T00:00:00"/>
    <s v="OS00001655"/>
    <s v="Mantenimiento SG5 // Feb 24 - Ene 25"/>
    <n v="8"/>
    <s v="Cuota 8/12 (Sep)"/>
    <n v="5100"/>
    <n v="61200"/>
    <s v="SOL"/>
    <n v="5100"/>
    <x v="1"/>
    <s v="Perú"/>
    <s v="Operaciones"/>
    <m/>
    <m/>
    <m/>
    <x v="23"/>
    <m/>
  </r>
  <r>
    <s v="F-1124"/>
    <m/>
    <x v="2"/>
    <d v="2024-10-01T00:00:00"/>
    <s v="Kunaq"/>
    <m/>
    <m/>
    <d v="2024-01-01T00:00:00"/>
    <s v="OS00001655"/>
    <s v="Mantenimiento SG5 // Feb 24 - Ene 25"/>
    <n v="9"/>
    <s v="Cuota 9/12 (Oct)"/>
    <n v="5100"/>
    <n v="61200"/>
    <s v="SOL"/>
    <n v="5100"/>
    <x v="1"/>
    <s v="Perú"/>
    <s v="Operaciones"/>
    <m/>
    <m/>
    <m/>
    <x v="26"/>
    <m/>
  </r>
  <r>
    <s v="F-1125"/>
    <m/>
    <x v="2"/>
    <d v="2024-11-01T00:00:00"/>
    <s v="Kunaq"/>
    <m/>
    <m/>
    <d v="2024-01-01T00:00:00"/>
    <s v="OS00001655"/>
    <s v="Mantenimiento SG5 // Feb 24 - Ene 25"/>
    <n v="10"/>
    <s v="Cuota 10/12 (Nov)"/>
    <n v="5100"/>
    <n v="61200"/>
    <s v="SOL"/>
    <n v="5100"/>
    <x v="1"/>
    <s v="Perú"/>
    <s v="Operaciones"/>
    <m/>
    <m/>
    <m/>
    <x v="27"/>
    <m/>
  </r>
  <r>
    <s v="F-1126"/>
    <m/>
    <x v="2"/>
    <d v="2024-12-01T00:00:00"/>
    <s v="Kunaq"/>
    <m/>
    <m/>
    <d v="2024-01-01T00:00:00"/>
    <s v="OS00001655"/>
    <s v="Mantenimiento SG5 // Feb 24 - Ene 25"/>
    <n v="11"/>
    <s v="Cuota 11/12 (Dic)"/>
    <n v="5100"/>
    <n v="61200"/>
    <s v="SOL"/>
    <n v="5100"/>
    <x v="1"/>
    <s v="Perú"/>
    <s v="Operaciones"/>
    <m/>
    <m/>
    <m/>
    <x v="28"/>
    <m/>
  </r>
  <r>
    <s v="F-1127"/>
    <m/>
    <x v="2"/>
    <d v="2025-01-01T00:00:00"/>
    <s v="Kunaq"/>
    <m/>
    <m/>
    <d v="2024-01-01T00:00:00"/>
    <s v="OS00001655"/>
    <s v="Mantenimiento SG5 // Feb 24 - Ene 25"/>
    <n v="12"/>
    <s v="Cuota 12/12 (Ene)"/>
    <n v="5100"/>
    <n v="61200"/>
    <s v="SOL"/>
    <n v="5100"/>
    <x v="1"/>
    <s v="Perú"/>
    <s v="Operaciones"/>
    <m/>
    <m/>
    <m/>
    <x v="29"/>
    <m/>
  </r>
  <r>
    <s v="F-1128"/>
    <m/>
    <x v="2"/>
    <d v="2024-02-01T00:00:00"/>
    <s v="Avanza"/>
    <m/>
    <s v="E001-1262"/>
    <d v="2024-02-01T00:00:00"/>
    <m/>
    <s v="Mantenimiento y Soporte del CRM (Operaciones)"/>
    <n v="1"/>
    <s v="Cuota 1/2 - 50%"/>
    <n v="11000"/>
    <n v="22000"/>
    <s v="SOL"/>
    <n v="11000"/>
    <x v="1"/>
    <s v="Perú"/>
    <s v="Operaciones"/>
    <s v="Cancelado"/>
    <d v="2024-03-20T00:00:00"/>
    <d v="2024-03-21T00:00:00"/>
    <x v="22"/>
    <m/>
  </r>
  <r>
    <s v="F-1129"/>
    <m/>
    <x v="2"/>
    <d v="2024-09-01T00:00:00"/>
    <s v="Avanza"/>
    <m/>
    <m/>
    <d v="2024-02-01T00:00:00"/>
    <m/>
    <s v="Mantenimiento y Soporte del CRM (Operaciones)"/>
    <n v="2"/>
    <s v="Cuota 2/2 - 50%"/>
    <n v="11000"/>
    <n v="22000"/>
    <s v="SOL"/>
    <n v="11000"/>
    <x v="1"/>
    <s v="Perú"/>
    <s v="Operaciones"/>
    <m/>
    <m/>
    <m/>
    <x v="23"/>
    <m/>
  </r>
  <r>
    <s v="F-1130"/>
    <s v="P202414"/>
    <x v="2"/>
    <d v="2024-03-01T00:00:00"/>
    <s v="Avanza"/>
    <s v="FU-2024.1-001"/>
    <s v="E001-1307"/>
    <d v="2024-03-01T00:00:00"/>
    <s v="OS00001733"/>
    <s v="Modificación del CRM - Bloqueo del celular"/>
    <n v="1"/>
    <s v="Cuota única"/>
    <n v="650"/>
    <n v="650"/>
    <s v="SOL"/>
    <n v="650"/>
    <x v="0"/>
    <s v="Perú"/>
    <s v="Operaciones"/>
    <s v="Cancelado"/>
    <d v="2024-04-02T00:00:00"/>
    <d v="2024-04-05T00:00:00"/>
    <x v="24"/>
    <m/>
  </r>
  <r>
    <s v="F-1131"/>
    <m/>
    <x v="2"/>
    <d v="2024-03-01T00:00:00"/>
    <s v="IQ"/>
    <m/>
    <s v="E001-2004"/>
    <d v="2024-03-01T00:00:00"/>
    <m/>
    <s v="Campaña emailing "/>
    <n v="1"/>
    <s v="Cuota única"/>
    <n v="985"/>
    <n v="985"/>
    <s v="SOL"/>
    <n v="985"/>
    <x v="1"/>
    <s v="Perú"/>
    <s v="Operaciones"/>
    <s v="Cancelado"/>
    <d v="2024-03-22T00:00:00"/>
    <d v="2024-03-01T00:00:00"/>
    <x v="24"/>
    <m/>
  </r>
  <r>
    <s v="F-1132"/>
    <s v="P202415"/>
    <x v="2"/>
    <d v="2024-04-01T00:00:00"/>
    <s v="Kunaq"/>
    <m/>
    <s v="E001-3778"/>
    <d v="2024-03-01T00:00:00"/>
    <s v="OS00001805"/>
    <s v="Modificación reporte NIIF"/>
    <n v="1"/>
    <s v="Cuota 1/2 - 50%"/>
    <n v="2490"/>
    <n v="4980"/>
    <s v="SOL"/>
    <n v="2490"/>
    <x v="0"/>
    <s v="Perú"/>
    <s v="Adm&amp;Fin"/>
    <s v="Cancelado"/>
    <d v="2024-05-22T00:00:00"/>
    <d v="2024-05-16T00:00:00"/>
    <x v="21"/>
    <m/>
  </r>
  <r>
    <s v="F-1133"/>
    <s v="P202415"/>
    <x v="2"/>
    <d v="2024-08-01T00:00:00"/>
    <s v="Kunaq"/>
    <m/>
    <m/>
    <d v="2024-03-01T00:00:00"/>
    <s v="OS00001805"/>
    <s v="Modificación reporte NIIF"/>
    <n v="2"/>
    <s v="Cuota 2/2 - 50%"/>
    <n v="2490"/>
    <n v="4980"/>
    <s v="SOL"/>
    <n v="2490"/>
    <x v="0"/>
    <s v="Perú"/>
    <s v="Adm&amp;Fin"/>
    <m/>
    <m/>
    <m/>
    <x v="18"/>
    <m/>
  </r>
  <r>
    <s v="F-1134"/>
    <s v="P202416"/>
    <x v="2"/>
    <d v="2024-04-01T00:00:00"/>
    <s v="Kunaq"/>
    <m/>
    <s v="E001-3779"/>
    <d v="2024-03-01T00:00:00"/>
    <s v="OS00001806"/>
    <s v="Modificación del API"/>
    <n v="1"/>
    <s v="Cuota 1/2 - 50%"/>
    <n v="890"/>
    <n v="1780"/>
    <s v="SOL"/>
    <n v="890"/>
    <x v="0"/>
    <s v="Perú"/>
    <s v="Operaciones"/>
    <s v="Cancelado"/>
    <d v="2024-05-22T00:00:00"/>
    <d v="2024-05-16T00:00:00"/>
    <x v="21"/>
    <m/>
  </r>
  <r>
    <s v="F-1135"/>
    <s v="P202416"/>
    <x v="2"/>
    <d v="2024-08-01T00:00:00"/>
    <s v="Kunaq"/>
    <m/>
    <m/>
    <d v="2024-03-01T00:00:00"/>
    <s v="OS00001806"/>
    <s v="Modificación del API"/>
    <n v="2"/>
    <s v="Cuota 2/2 - 50%"/>
    <n v="890"/>
    <n v="1780"/>
    <s v="SOL"/>
    <n v="890"/>
    <x v="0"/>
    <s v="Perú"/>
    <s v="Operaciones"/>
    <m/>
    <m/>
    <m/>
    <x v="18"/>
    <m/>
  </r>
  <r>
    <s v="F-1136"/>
    <s v="P202417"/>
    <x v="2"/>
    <d v="2024-08-01T00:00:00"/>
    <s v="Avanza"/>
    <m/>
    <m/>
    <d v="2024-06-01T00:00:00"/>
    <s v="OS00001951"/>
    <s v="Modificación del CRM - Contraseña"/>
    <n v="1"/>
    <s v="Cuota única"/>
    <n v="11960"/>
    <n v="11960"/>
    <s v="SOL"/>
    <n v="11960"/>
    <x v="0"/>
    <s v="Perú"/>
    <s v="Operaciones"/>
    <m/>
    <m/>
    <s v=""/>
    <x v="18"/>
    <m/>
  </r>
  <r>
    <s v="F-1137"/>
    <s v="P202418"/>
    <x v="2"/>
    <d v="2024-07-01T00:00:00"/>
    <s v="Avanza"/>
    <m/>
    <s v="E001-1701"/>
    <d v="2024-06-01T00:00:00"/>
    <s v="OS00001952"/>
    <s v="Modificación del CRM - Cambio de dominio"/>
    <n v="1"/>
    <s v="Cuota única"/>
    <n v="650"/>
    <n v="650"/>
    <s v="SOL"/>
    <n v="650"/>
    <x v="0"/>
    <s v="Perú"/>
    <s v="Operaciones"/>
    <s v="Pendiente"/>
    <d v="2024-08-01T00:00:00"/>
    <m/>
    <x v="25"/>
    <m/>
  </r>
  <r>
    <s v="F-1138"/>
    <s v="P202419"/>
    <x v="2"/>
    <d v="2024-09-01T00:00:00"/>
    <s v="Kunaq"/>
    <m/>
    <m/>
    <d v="2024-07-01T00:00:00"/>
    <m/>
    <s v="Reporte de cobranza"/>
    <n v="1"/>
    <s v="Cuota única"/>
    <n v="4340"/>
    <n v="4340"/>
    <s v="SOL"/>
    <n v="4340"/>
    <x v="0"/>
    <s v="Perú"/>
    <s v="Operaciones"/>
    <m/>
    <m/>
    <s v=""/>
    <x v="23"/>
    <s v="SG5"/>
  </r>
  <r>
    <s v="F-1139"/>
    <s v="P202412"/>
    <x v="2"/>
    <d v="2024-07-01T00:00:00"/>
    <s v="Kunaq"/>
    <m/>
    <m/>
    <d v="2024-07-01T00:00:00"/>
    <s v="OS00001976"/>
    <s v="Proyecto suspiro"/>
    <n v="1"/>
    <s v="Cuota 1/3 - 30%"/>
    <n v="2292"/>
    <n v="7640"/>
    <s v="SOL"/>
    <n v="2292"/>
    <x v="0"/>
    <s v="Perú"/>
    <s v="Operaciones"/>
    <s v="Pendiente"/>
    <s v="-"/>
    <m/>
    <x v="25"/>
    <m/>
  </r>
  <r>
    <s v="F-1140"/>
    <s v="P202412"/>
    <x v="2"/>
    <d v="2024-09-01T00:00:00"/>
    <s v="Kunaq"/>
    <m/>
    <m/>
    <d v="2024-07-01T00:00:00"/>
    <s v="OS00001976"/>
    <s v="Proyecto suspiro"/>
    <n v="2"/>
    <s v="Cuota 2/3 - 35%"/>
    <n v="2674"/>
    <n v="7640"/>
    <s v="SOL"/>
    <n v="2674"/>
    <x v="0"/>
    <s v="Perú"/>
    <s v="Operaciones"/>
    <m/>
    <m/>
    <m/>
    <x v="23"/>
    <m/>
  </r>
  <r>
    <s v="F-1141"/>
    <s v="P202412"/>
    <x v="2"/>
    <d v="2024-10-01T00:00:00"/>
    <s v="Kunaq"/>
    <m/>
    <m/>
    <d v="2024-07-01T00:00:00"/>
    <s v="OS00001976"/>
    <s v="Proyecto suspiro"/>
    <n v="3"/>
    <s v="Cuota 3/3 - 35%"/>
    <n v="2674"/>
    <n v="7640"/>
    <s v="SOL"/>
    <n v="2674"/>
    <x v="0"/>
    <s v="Perú"/>
    <s v="Operaciones"/>
    <m/>
    <m/>
    <m/>
    <x v="2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F767F8-6062-4E63-A7D8-D3611960CBF8}" name="TablaDinámica15" cacheId="1" applyNumberFormats="0" applyBorderFormats="0" applyFontFormats="0" applyPatternFormats="0" applyAlignmentFormats="0" applyWidthHeightFormats="1" dataCaption="Valores" tag="3e5561e8-602b-4fda-9dd3-af1da0924ba8" updatedVersion="8" minRefreshableVersion="3" useAutoFormatting="1" subtotalHiddenItems="1" itemPrintTitles="1" createdVersion="8" indent="0" outline="1" outlineData="1" multipleFieldFilters="0" chartFormat="4">
  <location ref="N4:O11" firstHeaderRow="1" firstDataRow="1" firstDataCol="1" rowPageCount="2" colPageCount="1"/>
  <pivotFields count="6">
    <pivotField allDrilled="1" subtotalTop="0" showAll="0" dataSourceSort="1" defaultSubtotal="0" defaultAttributeDrillState="1">
      <items count="4">
        <item s="1" x="0"/>
        <item s="1" x="1"/>
        <item s="1" x="2"/>
        <item s="1" x="3"/>
      </items>
    </pivotField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2">
    <pageField fld="3" hier="47" name="[Tabla2].[Cuenta].&amp;[Cuenta 34: Activo intangible]" cap="Cuenta 34: Activo intangible"/>
    <pageField fld="4" hier="50" name="[Tabla2].[Estado].&amp;[Cancelado]" cap="Cancelado"/>
  </pageFields>
  <dataFields count="1">
    <dataField name="Suma de Cuota" fld="5" baseField="0" baseItem="0"/>
  </dataFields>
  <formats count="4">
    <format dxfId="76">
      <pivotArea type="all" dataOnly="0" outline="0" fieldPosition="0"/>
    </format>
    <format dxfId="75">
      <pivotArea outline="0" collapsedLevelsAreSubtotals="1" fieldPosition="0"/>
    </format>
    <format dxfId="74">
      <pivotArea field="0" type="button" dataOnly="0" labelOnly="1" outline="0"/>
    </format>
    <format dxfId="73">
      <pivotArea dataOnly="0" labelOnly="1" grandRow="1" outline="0" fieldPosition="0"/>
    </format>
  </formats>
  <chartFormats count="1">
    <chartFormat chart="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8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2" level="1">
        <member name="[Tabla2].[Año Proy].&amp;[2023]"/>
        <member name="[Tabla2].[Año Proy].&amp;[2024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a2].[Cuenta].&amp;[Cuenta 34: Activo intangible]"/>
      </members>
    </pivotHierarchy>
    <pivotHierarchy dragToData="1"/>
    <pivotHierarchy dragToData="1"/>
    <pivotHierarchy multipleItemSelectionAllowed="1" dragToData="1">
      <members count="1" level="1">
        <member name="[Tabla2].[Estado].&amp;[Cancelad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la1]"/>
        <x15:activeTabTopLevelEntity name="[Tabla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887446-D6AA-479D-B04A-F7D1954CB96C}" name="TablaDinámica4" cacheId="6" applyNumberFormats="0" applyBorderFormats="0" applyFontFormats="0" applyPatternFormats="0" applyAlignmentFormats="0" applyWidthHeightFormats="1" dataCaption="Valores" updatedVersion="8" minRefreshableVersion="3" useAutoFormatting="1" subtotalHiddenItems="1" itemPrintTitles="1" createdVersion="8" indent="0" outline="1" outlineData="1" multipleFieldFilters="0">
  <location ref="A20:A21" firstHeaderRow="1" firstDataRow="1" firstDataCol="0"/>
  <pivotFields count="2">
    <pivotField dataField="1" subtotalTop="0" showAll="0" defaultSubtotal="0"/>
    <pivotField allDrilled="1" subtotalTop="0" showAll="0" dataSourceSort="1" defaultSubtotal="0" defaultAttributeDrillState="1"/>
  </pivotFields>
  <rowItems count="1">
    <i/>
  </rowItems>
  <colItems count="1">
    <i/>
  </colItems>
  <dataFields count="1">
    <dataField name="Suma de Presupuesto S/." fld="0" baseField="0" baseItem="0"/>
  </dataFields>
  <pivotHierarchies count="8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onsolidado proyectos.xlsx!Tabla1">
        <x15:activeTabTopLevelEntity name="[Tabla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34FF13-3715-4C32-93AC-CEC0B5E6C4FA}" name="TablaDinámica5" cacheId="2" applyNumberFormats="0" applyBorderFormats="0" applyFontFormats="0" applyPatternFormats="0" applyAlignmentFormats="0" applyWidthHeightFormats="1" dataCaption="Valores" tag="07e3ed42-f913-43ec-8dc2-000deab0f4aa" updatedVersion="8" minRefreshableVersion="3" useAutoFormatting="1" subtotalHiddenItems="1" itemPrintTitles="1" createdVersion="8" indent="0" outline="1" outlineData="1" multipleFieldFilters="0">
  <location ref="A27:E58" firstHeaderRow="1" firstDataRow="2" firstDataCol="1" rowPageCount="2" colPageCount="1"/>
  <pivotFields count="5">
    <pivotField dataField="1" subtotalTop="0" showAll="0" defaultSubtotal="0"/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axis="axisPage" allDrilled="1" subtotalTop="0" showAll="0" dataSourceSort="1" defaultSubtotal="0" defaultAttributeDrillState="1"/>
    <pivotField axis="axisRow" allDrilled="1" subtotalTop="0" showAll="0" defaultSubtotal="0" defaultAttributeDrillState="1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6"/>
        <item x="27"/>
        <item x="24"/>
        <item x="25"/>
        <item x="28"/>
      </items>
    </pivotField>
  </pivotFields>
  <rowFields count="1">
    <field x="4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pageFields count="2">
    <pageField fld="1" hier="50" name="[Tabla2].[Estado].&amp;[Cancelado]" cap="Cancelado"/>
    <pageField fld="3" hier="47" name="[Tabla2].[Cuenta].&amp;[Cuenta 34: Activo intangible]" cap="Cuenta 34: Activo intangible"/>
  </pageFields>
  <dataFields count="1">
    <dataField name="Suma de Cuota" fld="0" baseField="0" baseItem="0"/>
  </dataFields>
  <formats count="1">
    <format dxfId="88">
      <pivotArea dataOnly="0" labelOnly="1" fieldPosition="0">
        <references count="1">
          <reference field="4" count="0"/>
        </references>
      </pivotArea>
    </format>
  </formats>
  <pivotHierarchies count="8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a2].[Cuenta].&amp;[Cuenta 34: Activo intangible]"/>
      </members>
    </pivotHierarchy>
    <pivotHierarchy dragToData="1"/>
    <pivotHierarchy dragToData="1"/>
    <pivotHierarchy multipleItemSelectionAllowed="1" dragToData="1">
      <members count="1" level="1">
        <member name="[Tabla2].[Estado].&amp;[Cancelad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4"/>
  </rowHierarchiesUsage>
  <colHierarchiesUsage count="1">
    <colHierarchyUsage hierarchyUsage="3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la2]"/>
        <x15:activeTabTopLevelEntity name="[Tabla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FC12E78-A327-4C4C-A177-5CFBBF543AF5}" name="TablaDinámica16" cacheId="9" applyNumberFormats="0" applyBorderFormats="0" applyFontFormats="0" applyPatternFormats="0" applyAlignmentFormats="0" applyWidthHeightFormats="1" dataCaption="Valores" tag="b3d73c7a-ed88-4950-babf-3f5f4eccbd53" updatedVersion="8" minRefreshableVersion="3" useAutoFormatting="1" subtotalHiddenItems="1" itemPrintTitles="1" createdVersion="8" indent="0" outline="1" outlineData="1" multipleFieldFilters="0" chartFormat="6">
  <location ref="P17:R23" firstHeaderRow="0" firstDataRow="1" firstDataCol="1"/>
  <pivotFields count="4">
    <pivotField axis="axisRow" allDrilled="1" subtotalTop="0" showAll="0" defaultSubtotal="0" defaultAttributeDrillState="1">
      <items count="5">
        <item x="0"/>
        <item x="1"/>
        <item x="2"/>
        <item x="3"/>
        <item x="4"/>
      </items>
    </pivotField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Aprobado S/." fld="1" baseField="0" baseItem="0"/>
    <dataField name="Suma de Ejecutado S/." fld="2" baseField="0" baseItem="0"/>
  </dataFields>
  <formats count="6">
    <format dxfId="94">
      <pivotArea type="all" dataOnly="0" outline="0" fieldPosition="0"/>
    </format>
    <format dxfId="93">
      <pivotArea outline="0" collapsedLevelsAreSubtotals="1" fieldPosition="0"/>
    </format>
    <format dxfId="92">
      <pivotArea field="0" type="button" dataOnly="0" labelOnly="1" outline="0" axis="axisRow" fieldPosition="0"/>
    </format>
    <format dxfId="91">
      <pivotArea dataOnly="0" labelOnly="1" fieldPosition="0">
        <references count="1">
          <reference field="0" count="0"/>
        </references>
      </pivotArea>
    </format>
    <format dxfId="90">
      <pivotArea dataOnly="0" labelOnly="1" grandRow="1" outline="0" fieldPosition="0"/>
    </format>
    <format dxfId="8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2">
    <chartFormat chart="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8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onsolidado proyectos.xlsx!Tabla1">
        <x15:activeTabTopLevelEntity name="[Tabla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098449-41A5-47F0-8493-2CE8ADD27395}" name="TablaDinámica3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4">
  <location ref="I5:J16" firstHeaderRow="1" firstDataRow="1" firstDataCol="1"/>
  <pivotFields count="3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4" showAll="0"/>
    <pivotField numFmtId="10" showAll="0"/>
    <pivotField numFmtId="44" showAll="0"/>
    <pivotField numFmtId="10" showAll="0"/>
    <pivotField showAll="0"/>
    <pivotField showAll="0"/>
    <pivotField axis="axisRow" numFmtId="17" showAll="0">
      <items count="15">
        <item x="4"/>
        <item x="9"/>
        <item x="7"/>
        <item x="1"/>
        <item x="8"/>
        <item x="2"/>
        <item x="3"/>
        <item x="0"/>
        <item x="5"/>
        <item x="6"/>
        <item x="11"/>
        <item x="12"/>
        <item x="10"/>
        <item x="13"/>
        <item t="default"/>
      </items>
    </pivotField>
    <pivotField showAll="0">
      <items count="3">
        <item x="0"/>
        <item h="1" x="1"/>
        <item t="default"/>
      </items>
    </pivotField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showAll="0">
      <items count="128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x="124"/>
        <item x="125"/>
        <item x="126"/>
        <item t="default"/>
      </items>
    </pivotField>
  </pivotFields>
  <rowFields count="1">
    <field x="26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Suma de Aprobado_x000a_S/." fld="20" baseField="0" baseItem="0" numFmtId="44"/>
  </dataFields>
  <formats count="2">
    <format dxfId="52">
      <pivotArea collapsedLevelsAreSubtotals="1" fieldPosition="0">
        <references count="1">
          <reference field="26" count="1">
            <x v="1"/>
          </reference>
        </references>
      </pivotArea>
    </format>
    <format dxfId="51">
      <pivotArea outline="0" collapsedLevelsAreSubtotals="1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E7D29B-5544-463D-9D70-EC7621F348DA}" name="TablaDinámica1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4">
  <location ref="A5:B8" firstHeaderRow="1" firstDataRow="1" firstDataCol="1"/>
  <pivotFields count="3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4" showAll="0"/>
    <pivotField dataField="1" numFmtId="10" showAll="0"/>
    <pivotField numFmtId="44" showAll="0"/>
    <pivotField numFmtId="10" showAll="0"/>
    <pivotField showAll="0"/>
    <pivotField showAll="0"/>
    <pivotField numFmtId="17" showAll="0">
      <items count="15">
        <item x="4"/>
        <item x="9"/>
        <item x="7"/>
        <item x="1"/>
        <item x="8"/>
        <item x="2"/>
        <item x="3"/>
        <item x="0"/>
        <item x="5"/>
        <item x="6"/>
        <item x="11"/>
        <item x="12"/>
        <item x="10"/>
        <item x="13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1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t="default"/>
      </items>
    </pivotField>
  </pivotFields>
  <rowFields count="1">
    <field x="27"/>
  </rowFields>
  <rowItems count="3">
    <i>
      <x/>
    </i>
    <i>
      <x v="1"/>
    </i>
    <i t="grand">
      <x/>
    </i>
  </rowItems>
  <colItems count="1">
    <i/>
  </colItems>
  <dataFields count="1">
    <dataField name="Suma de %_x000a_Aprob" fld="21" baseField="0" baseItem="0"/>
  </dataFields>
  <formats count="2">
    <format dxfId="54">
      <pivotArea outline="0" collapsedLevelsAreSubtotals="1" fieldPosition="0"/>
    </format>
    <format dxfId="5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365748-A01D-4FF0-9D78-5E0CE072B600}" name="TablaDinámica2" cacheId="4" applyNumberFormats="0" applyBorderFormats="0" applyFontFormats="0" applyPatternFormats="0" applyAlignmentFormats="0" applyWidthHeightFormats="1" dataCaption="Valores" updatedVersion="8" minRefreshableVersion="5" useAutoFormatting="1" itemPrintTitles="1" createdVersion="8" indent="0" outline="1" outlineData="1" multipleFieldFilters="0" chartFormat="16">
  <location ref="E5:E25" firstHeaderRow="1" firstDataRow="1" firstDataCol="1" rowPageCount="1" colPageCount="1"/>
  <pivotFields count="24">
    <pivotField showAll="0"/>
    <pivotField showAll="0"/>
    <pivotField showAll="0">
      <items count="4">
        <item h="1" x="0"/>
        <item x="1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4" showAll="0"/>
    <pivotField axis="axisPage" showAll="0">
      <items count="4">
        <item x="0"/>
        <item x="1"/>
        <item m="1" x="2"/>
        <item t="default"/>
      </items>
    </pivotField>
    <pivotField showAll="0"/>
    <pivotField showAll="0"/>
    <pivotField showAll="0"/>
    <pivotField showAll="0"/>
    <pivotField showAll="0"/>
    <pivotField axis="axisRow" numFmtId="17" showAll="0">
      <items count="32">
        <item m="1" x="30"/>
        <item x="0"/>
        <item x="1"/>
        <item x="2"/>
        <item x="3"/>
        <item x="4"/>
        <item x="5"/>
        <item x="6"/>
        <item x="7"/>
        <item x="11"/>
        <item x="8"/>
        <item x="9"/>
        <item x="12"/>
        <item x="13"/>
        <item x="10"/>
        <item x="14"/>
        <item x="16"/>
        <item x="17"/>
        <item x="20"/>
        <item x="22"/>
        <item x="24"/>
        <item x="21"/>
        <item x="19"/>
        <item x="15"/>
        <item x="25"/>
        <item x="18"/>
        <item x="23"/>
        <item x="26"/>
        <item x="27"/>
        <item x="28"/>
        <item x="29"/>
        <item t="default"/>
      </items>
    </pivotField>
    <pivotField showAll="0"/>
  </pivotFields>
  <rowFields count="1">
    <field x="22"/>
  </rowFields>
  <rowItems count="20"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6"/>
    </i>
    <i t="grand">
      <x/>
    </i>
  </rowItems>
  <colItems count="1">
    <i/>
  </colItems>
  <pageFields count="1">
    <pageField fld="16" item="0" hier="-1"/>
  </pageFields>
  <formats count="1">
    <format dxfId="55">
      <pivotArea outline="0" collapsedLevelsAreSubtotals="1" fieldPosition="0"/>
    </format>
  </formats>
  <pivotTableStyleInfo name="PivotStyleLight16" showRowHeaders="1" showColHeaders="1" showRowStripes="0" showColStripes="0" showLastColumn="1"/>
  <filters count="1">
    <filter fld="3" type="dateBetween" evalOrder="-1" id="2" name="Fecha">
      <autoFilter ref="A1">
        <filterColumn colId="0">
          <customFilters and="1">
            <customFilter operator="greaterThanOrEqual" val="44927"/>
            <customFilter operator="lessThanOrEqual" val="4529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B9E10F-C34C-4E70-9A82-26F46833F736}" name="TablaDinámica30" cacheId="13" applyNumberFormats="0" applyBorderFormats="0" applyFontFormats="0" applyPatternFormats="0" applyAlignmentFormats="0" applyWidthHeightFormats="1" dataCaption="Valores" tag="9e2a0233-72fc-42e8-af7e-a3daeceba297" updatedVersion="8" minRefreshableVersion="3" useAutoFormatting="1" subtotalHiddenItems="1" itemPrintTitles="1" createdVersion="8" indent="0" outline="1" outlineData="1" multipleFieldFilters="0">
  <location ref="L20:L21" firstHeaderRow="1" firstDataRow="1" firstDataCol="0" rowPageCount="2" colPageCount="1"/>
  <pivotFields count="4"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</pivotFields>
  <rowItems count="1">
    <i/>
  </rowItems>
  <colItems count="1">
    <i/>
  </colItems>
  <pageFields count="2">
    <pageField fld="1" hier="24" name="[Tabla1].[Estado presupuesto].&amp;[Aprobado]" cap="Aprobado"/>
    <pageField fld="2" hier="12" name="[Tabla1].[Estado proyecto].&amp;[En proceso]" cap="En proceso"/>
  </pageFields>
  <dataFields count="1">
    <dataField name="Recuento de Proyecto" fld="0" subtotal="count" baseField="0" baseItem="0"/>
  </dataFields>
  <pivotHierarchies count="8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a1].[Estado proyecto].&amp;[En proces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a1].[Estado presupuesto].&amp;[Aprobado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onsolidado proyectos.xlsx!Tabla1">
        <x15:activeTabTopLevelEntity name="[Tabla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309994-C50B-47F9-8F85-3E0065F14A74}" name="TablaDinámica1" cacheId="5" applyNumberFormats="0" applyBorderFormats="0" applyFontFormats="0" applyPatternFormats="0" applyAlignmentFormats="0" applyWidthHeightFormats="1" dataCaption="Valores" tag="d69bff49-9c11-434c-9da0-9e8ff16f8cfe" updatedVersion="8" minRefreshableVersion="3" useAutoFormatting="1" subtotalHiddenItems="1" itemPrintTitles="1" createdVersion="8" indent="0" outline="1" outlineData="1" multipleFieldFilters="0" chartFormat="3">
  <location ref="A3:D16" firstHeaderRow="1" firstDataRow="2" firstDataCol="1" rowPageCount="1" colPageCount="1"/>
  <pivotFields count="4">
    <pivotField axis="axisCol" allDrilled="1" subtotalTop="0" showAll="0" dataSourceSort="1" defaultSubtotal="0" defaultAttributeDrillState="1">
      <items count="2">
        <item x="0"/>
        <item x="1"/>
      </items>
    </pivotField>
    <pivotField axis="axisRow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0"/>
  </colFields>
  <colItems count="3">
    <i>
      <x/>
    </i>
    <i>
      <x v="1"/>
    </i>
    <i t="grand">
      <x/>
    </i>
  </colItems>
  <pageFields count="1">
    <pageField fld="3" hier="24" name="[Tabla1].[Estado presupuesto].&amp;[Aprobado]" cap="Aprobado"/>
  </pageFields>
  <dataFields count="1">
    <dataField name="Suma de Aprobado S/." fld="2" baseField="0" baseItem="0"/>
  </dataFields>
  <pivotHierarchies count="8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a1].[Estado presupuesto].&amp;[Aprobado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0"/>
  </rowHierarchiesUsage>
  <colHierarchiesUsage count="1">
    <colHierarchyUsage hierarchyUsage="2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onsolidado proyectos.xlsx!Tabla1">
        <x15:activeTabTopLevelEntity name="[Tabla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EF863A-D2A5-4F1D-89DF-67AF521F21ED}" name="TablaDinámica14" cacheId="8" applyNumberFormats="0" applyBorderFormats="0" applyFontFormats="0" applyPatternFormats="0" applyAlignmentFormats="0" applyWidthHeightFormats="1" dataCaption="Valores" tag="03513fb9-002b-435f-97d9-dda2226508a6" updatedVersion="8" minRefreshableVersion="3" useAutoFormatting="1" subtotalHiddenItems="1" itemPrintTitles="1" createdVersion="8" indent="0" outline="1" outlineData="1" multipleFieldFilters="0">
  <location ref="J20:J21" firstHeaderRow="1" firstDataRow="1" firstDataCol="0" rowPageCount="1" colPageCount="1"/>
  <pivotFields count="3">
    <pivotField dataField="1" subtotalTop="0" showAll="0" defaultSubtotal="0"/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</pivotFields>
  <rowItems count="1">
    <i/>
  </rowItems>
  <colItems count="1">
    <i/>
  </colItems>
  <pageFields count="1">
    <pageField fld="1" hier="24" name="[Tabla1].[Estado presupuesto].&amp;[Aprobado]" cap="Aprobado"/>
  </pageFields>
  <dataFields count="1">
    <dataField name="Recuento de Proyecto" fld="0" subtotal="count" baseField="0" baseItem="0"/>
  </dataFields>
  <pivotHierarchies count="8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a1].[Estado presupuesto].&amp;[Aprobado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onsolidado proyectos.xlsx!Tabla1">
        <x15:activeTabTopLevelEntity name="[Tabla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5C5972-F6BF-440C-8F44-49C7E9D6EE20}" name="TablaDinámica17" cacheId="0" applyNumberFormats="0" applyBorderFormats="0" applyFontFormats="0" applyPatternFormats="0" applyAlignmentFormats="0" applyWidthHeightFormats="1" dataCaption="Valores" tag="3344a7b5-27c9-46ad-9242-1d27a959fb83" updatedVersion="8" minRefreshableVersion="3" useAutoFormatting="1" subtotalHiddenItems="1" itemPrintTitles="1" createdVersion="8" indent="0" outline="1" outlineData="1" multipleFieldFilters="0" chartFormat="7">
  <location ref="I65:L71" firstHeaderRow="1" firstDataRow="2" firstDataCol="1" rowPageCount="2" colPageCount="1"/>
  <pivotFields count="5">
    <pivotField axis="axisRow" allDrilled="1" subtotalTop="0" showAll="0" dataSourceSort="1" defaultSubtotal="0" defaultAttributeDrillState="1">
      <items count="4">
        <item x="0"/>
        <item x="1"/>
        <item x="2"/>
        <item x="3"/>
      </items>
    </pivotField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x="0"/>
        <item x="1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3">
    <i>
      <x/>
    </i>
    <i>
      <x v="1"/>
    </i>
    <i t="grand">
      <x/>
    </i>
  </colItems>
  <pageFields count="2">
    <pageField fld="3" hier="47" name="[Tabla2].[Cuenta].&amp;[Cuenta 34: Activo intangible]" cap="Cuenta 34: Activo intangible"/>
    <pageField fld="1" hier="50" name="[Tabla2].[Estado].&amp;" cap=""/>
  </pageFields>
  <dataFields count="1">
    <dataField name="Suma de Cuota S/." fld="4" baseField="0" baseItem="0"/>
  </dataFields>
  <formats count="10">
    <format dxfId="86">
      <pivotArea type="all" dataOnly="0" outline="0" fieldPosition="0"/>
    </format>
    <format dxfId="85">
      <pivotArea type="origin" dataOnly="0" labelOnly="1" outline="0" fieldPosition="0"/>
    </format>
    <format dxfId="84">
      <pivotArea field="2" type="button" dataOnly="0" labelOnly="1" outline="0" axis="axisCol" fieldPosition="0"/>
    </format>
    <format dxfId="83">
      <pivotArea type="topRight" dataOnly="0" labelOnly="1" outline="0" fieldPosition="0"/>
    </format>
    <format dxfId="82">
      <pivotArea field="0" type="button" dataOnly="0" labelOnly="1" outline="0" axis="axisRow" fieldPosition="0"/>
    </format>
    <format dxfId="81">
      <pivotArea dataOnly="0" labelOnly="1" fieldPosition="0">
        <references count="1">
          <reference field="0" count="0"/>
        </references>
      </pivotArea>
    </format>
    <format dxfId="80">
      <pivotArea dataOnly="0" labelOnly="1" grandRow="1" outline="0" fieldPosition="0"/>
    </format>
    <format dxfId="79">
      <pivotArea dataOnly="0" labelOnly="1" grandCol="1" outline="0" fieldPosition="0"/>
    </format>
    <format dxfId="78">
      <pivotArea dataOnly="0" labelOnly="1" fieldPosition="0">
        <references count="1">
          <reference field="2" count="0"/>
        </references>
      </pivotArea>
    </format>
    <format dxfId="77">
      <pivotArea outline="0" collapsedLevelsAreSubtotals="1" fieldPosition="0"/>
    </format>
  </formats>
  <chartFormats count="4">
    <chartFormat chart="2" format="6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2" format="7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Hierarchies count="8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a2].[Cuenta].&amp;[Cuenta 34: Activo intangible]"/>
      </members>
    </pivotHierarchy>
    <pivotHierarchy dragToData="1"/>
    <pivotHierarchy dragToData="1"/>
    <pivotHierarchy multipleItemSelectionAllowed="1" dragToData="1">
      <members count="2" level="1">
        <member name="[Tabla2].[Estado].&amp;"/>
        <member name="[Tabla2].[Estado].&amp;[Pendient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7"/>
  </rowHierarchiesUsage>
  <colHierarchiesUsage count="1">
    <colHierarchyUsage hierarchyUsage="3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la2]"/>
        <x15:activeTabTopLevelEntity name="[Tabla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7DD192C-94D0-4010-B2DF-B860C7B91C58}" name="TablaDinámica11" cacheId="7" applyNumberFormats="0" applyBorderFormats="0" applyFontFormats="0" applyPatternFormats="0" applyAlignmentFormats="0" applyWidthHeightFormats="1" dataCaption="Valores" updatedVersion="8" minRefreshableVersion="3" useAutoFormatting="1" subtotalHiddenItems="1" itemPrintTitles="1" createdVersion="8" indent="0" outline="1" outlineData="1" multipleFieldFilters="0">
  <location ref="D20:D21" firstHeaderRow="1" firstDataRow="1" firstDataCol="0"/>
  <pivotFields count="2">
    <pivotField dataField="1" subtotalTop="0" showAll="0" defaultSubtotal="0"/>
    <pivotField allDrilled="1" subtotalTop="0" showAll="0" dataSourceSort="1" defaultSubtotal="0" defaultAttributeDrillState="1"/>
  </pivotFields>
  <rowItems count="1">
    <i/>
  </rowItems>
  <colItems count="1">
    <i/>
  </colItems>
  <dataFields count="1">
    <dataField name="Suma de Aprobado S/." fld="0" baseField="0" baseItem="0"/>
  </dataFields>
  <pivotHierarchies count="8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onsolidado proyectos.xlsx!Tabla1">
        <x15:activeTabTopLevelEntity name="[Tabla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878685-C732-4551-B2EF-3F8CADE60DBD}" name="TablaDinámica13" cacheId="12" applyNumberFormats="0" applyBorderFormats="0" applyFontFormats="0" applyPatternFormats="0" applyAlignmentFormats="0" applyWidthHeightFormats="1" dataCaption="Valores" tag="76cd9599-0418-443a-bc81-f6a05cba607e" updatedVersion="8" minRefreshableVersion="3" useAutoFormatting="1" subtotalHiddenItems="1" itemPrintTitles="1" createdVersion="8" indent="0" outline="1" outlineData="1" multipleFieldFilters="0">
  <location ref="G20:G21" firstHeaderRow="1" firstDataRow="1" firstDataCol="0"/>
  <pivotFields count="2">
    <pivotField dataField="1" subtotalTop="0" showAll="0" defaultSubtotal="0"/>
    <pivotField allDrilled="1" subtotalTop="0" showAll="0" dataSourceSort="1" defaultSubtotal="0" defaultAttributeDrillState="1"/>
  </pivotFields>
  <rowItems count="1">
    <i/>
  </rowItems>
  <colItems count="1">
    <i/>
  </colItems>
  <dataFields count="1">
    <dataField name="Suma de Ejecutado S/." fld="0" baseField="0" baseItem="0"/>
  </dataFields>
  <pivotHierarchies count="8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onsolidado proyectos.xlsx!Tabla1">
        <x15:activeTabTopLevelEntity name="[Tabla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AF12FF-614D-4BB2-9D18-990571848077}" name="TablaDinámica28" cacheId="10" applyNumberFormats="0" applyBorderFormats="0" applyFontFormats="0" applyPatternFormats="0" applyAlignmentFormats="0" applyWidthHeightFormats="1" dataCaption="Valores" tag="4aa72192-957d-4d5b-ad24-e7349ba54171" updatedVersion="8" minRefreshableVersion="3" useAutoFormatting="1" subtotalHiddenItems="1" itemPrintTitles="1" createdVersion="8" indent="0" outline="1" outlineData="1" multipleFieldFilters="0">
  <location ref="T19:U23" firstHeaderRow="1" firstDataRow="1" firstDataCol="1" rowPageCount="1" colPageCount="1"/>
  <pivotFields count="4">
    <pivotField dataField="1" subtotalTop="0" showAll="0" defaultSubtotal="0"/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Page"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pageFields count="1">
    <pageField fld="2" hier="24" name="[Tabla1].[Estado presupuesto].[All]" cap="All"/>
  </pageFields>
  <dataFields count="1">
    <dataField name="Recuento de Proyecto" fld="0" subtotal="count" showDataAs="percentOfTotal" baseField="0" baseItem="0" numFmtId="10"/>
  </dataFields>
  <pivotHierarchies count="8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onsolidado proyectos.xlsx!Tabla1">
        <x15:activeTabTopLevelEntity name="[Tabla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4CD33A-8798-4CC4-A42F-E80D6373C270}" name="TablaDinámica29" cacheId="11" applyNumberFormats="0" applyBorderFormats="0" applyFontFormats="0" applyPatternFormats="0" applyAlignmentFormats="0" applyWidthHeightFormats="1" dataCaption="Valores" tag="dd49f04f-ef40-4d18-b560-475729225f9a" updatedVersion="8" minRefreshableVersion="3" useAutoFormatting="1" subtotalHiddenItems="1" itemPrintTitles="1" createdVersion="8" indent="0" outline="1" outlineData="1" multipleFieldFilters="0" chartFormat="4">
  <location ref="T28:T29" firstHeaderRow="1" firstDataRow="1" firstDataCol="0"/>
  <pivotFields count="3"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</pivotFields>
  <rowItems count="1">
    <i/>
  </rowItems>
  <colItems count="1">
    <i/>
  </colItems>
  <dataFields count="1">
    <dataField name="Suma de % Ejec" fld="1" baseField="0" baseItem="0" numFmtId="9"/>
  </dataFields>
  <formats count="1">
    <format dxfId="87">
      <pivotArea outline="0" collapsedLevelsAreSubtotals="1" fieldPosition="0"/>
    </format>
  </formats>
  <pivotHierarchies count="8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abla1].[Estado presupuesto].&amp;[Aprobado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onsolidado proyectos.xlsx!Tabla1">
        <x15:activeTabTopLevelEntity name="[Tabla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_Proy" xr10:uid="{2970A5A6-0AC0-40B8-83DD-700FE4117BEA}" sourceName="Año Proy">
  <pivotTables>
    <pivotTable tabId="21" name="TablaDinámica2"/>
  </pivotTables>
  <data>
    <tabular pivotCacheId="2011551902">
      <items count="3">
        <i x="0"/>
        <i x="1" s="1"/>
        <i x="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_Proy1" xr10:uid="{87405B86-F52B-4FE8-9CCA-E2D2BFE4372D}" sourceName="Año Proy">
  <pivotTables>
    <pivotTable tabId="21" name="TablaDinámica3"/>
  </pivotTables>
  <data>
    <tabular pivotCacheId="1109344698">
      <items count="2">
        <i x="0" s="1"/>
        <i x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_Proy2" xr10:uid="{438B1ECD-98DE-4CBD-AC3A-24D40B259786}" sourceName="[Tabla1].[Año Proy]">
  <pivotTables>
    <pivotTable tabId="27" name="TablaDinámica1"/>
    <pivotTable tabId="27" name="TablaDinámica4"/>
    <pivotTable tabId="27" name="TablaDinámica11"/>
    <pivotTable tabId="27" name="TablaDinámica14"/>
    <pivotTable tabId="27" name="TablaDinámica16"/>
    <pivotTable tabId="27" name="TablaDinámica28"/>
    <pivotTable tabId="27" name="TablaDinámica29"/>
    <pivotTable tabId="27" name="TablaDinámica13"/>
    <pivotTable tabId="27" name="TablaDinámica30"/>
  </pivotTables>
  <data>
    <olap pivotCacheId="1024759036">
      <levels count="2">
        <level uniqueName="[Tabla1].[Año Proy].[(All)]" sourceCaption="(All)" count="0"/>
        <level uniqueName="[Tabla1].[Año Proy].[Año Proy]" sourceCaption="Año Proy" count="3">
          <ranges>
            <range startItem="0">
              <i n="[Tabla1].[Año Proy].&amp;[2023]" c="2023"/>
              <i n="[Tabla1].[Año Proy].&amp;[2024]" c="2024"/>
              <i n="[Tabla1].[Año Proy].&amp;" c="(en blanco)" nd="1"/>
            </range>
          </ranges>
        </level>
      </levels>
      <selections count="1">
        <selection n="[Tabla1].[Año Proy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Proy 3" xr10:uid="{9BDDA6E5-BE3B-4422-840E-005AD939EAD9}" cache="SegmentaciónDeDatos_Año_Proy2" caption="Año Proy" columnCount="3" level="1" style="Mi estilo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Proy" xr10:uid="{A45DCB37-3F13-47B4-9D98-3629FB881CFF}" cache="SegmentaciónDeDatos_Año_Proy" caption="Año Proy" rowHeight="241300"/>
  <slicer name="Año Proy 1" xr10:uid="{01B949C5-70D4-4F9A-93BF-385A9A897212}" cache="SegmentaciónDeDatos_Año_Proy1" caption="Año Proy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6EDC4C8-8668-4245-A7BA-4945036D6EB9}" name="Tabla1" displayName="Tabla1" ref="A2:AD42" totalsRowShown="0" headerRowDxfId="210" headerRowBorderDxfId="209" tableBorderDxfId="208" totalsRowBorderDxfId="207">
  <autoFilter ref="A2:AD42" xr:uid="{36EDC4C8-8668-4245-A7BA-4945036D6EB9}"/>
  <sortState xmlns:xlrd2="http://schemas.microsoft.com/office/spreadsheetml/2017/richdata2" ref="A3:AD36">
    <sortCondition ref="B2:B76"/>
  </sortState>
  <tableColumns count="30">
    <tableColumn id="30" xr3:uid="{7AD9E35E-9E2F-4F91-BC80-77F58AF14B7A}" name="Llave" dataDxfId="206" totalsRowDxfId="205"/>
    <tableColumn id="1" xr3:uid="{F1388E5C-C0EF-4FD0-9642-4775CC2853FE}" name="ID" dataDxfId="204" totalsRowDxfId="203"/>
    <tableColumn id="2" xr3:uid="{70485E8E-5721-446C-89B2-6A1858BCDAAC}" name="Proyecto" dataDxfId="202" totalsRowDxfId="201"/>
    <tableColumn id="3" xr3:uid="{A46624D0-5F1F-4104-9E86-407A5BFCA7D1}" name="Alcance" dataDxfId="200" totalsRowDxfId="199"/>
    <tableColumn id="4" xr3:uid="{5BE50200-23AC-40D6-AEF0-2872B115B72A}" name="Área" dataDxfId="198" totalsRowDxfId="197"/>
    <tableColumn id="5" xr3:uid="{4B5A2DF0-8288-4CFD-8885-C20718392EB8}" name="Sub-Área" dataDxfId="196" totalsRowDxfId="195"/>
    <tableColumn id="6" xr3:uid="{603C5535-87CE-4C31-BE35-20B84E7707BF}" name="Involucradas" dataDxfId="194" totalsRowDxfId="193"/>
    <tableColumn id="7" xr3:uid="{1948AFCD-3105-403A-A427-812D787A7B4F}" name="Tamaño" dataDxfId="192" totalsRowDxfId="191"/>
    <tableColumn id="8" xr3:uid="{12F82C66-7103-4A7E-995C-1E23A1F890A0}" name="Puntaje" dataDxfId="190" totalsRowDxfId="189">
      <calculatedColumnFormula>IF(H3="S",1,IF(H3="M",2,IF(H3="L",4,IF(H3="XL",6,0))))</calculatedColumnFormula>
    </tableColumn>
    <tableColumn id="9" xr3:uid="{9A5D6172-DE3C-4C38-885A-13C216031AC9}" name="Esfuerzo" dataDxfId="188" totalsRowDxfId="187"/>
    <tableColumn id="10" xr3:uid="{6D41583D-911B-4CB2-A622-93D68747C298}" name="Líder" dataDxfId="186" totalsRowDxfId="185"/>
    <tableColumn id="11" xr3:uid="{928A6601-6BB1-4538-8FDF-F498917B8892}" name="P.Manager" dataDxfId="184" totalsRowDxfId="183"/>
    <tableColumn id="12" xr3:uid="{17384075-7C99-42F5-9878-F61F9FA4F4A7}" name="Estado proyecto" dataDxfId="182" totalsRowDxfId="181"/>
    <tableColumn id="13" xr3:uid="{1B852ACA-43FD-4B36-A89B-10D90E5FCDF8}" name="Proveedor principal" dataDxfId="180" totalsRowDxfId="179"/>
    <tableColumn id="14" xr3:uid="{3D3F9D48-ABDE-484A-8BB1-AD5FA245D9BC}" name="SG5" dataDxfId="178" totalsRowDxfId="177"/>
    <tableColumn id="15" xr3:uid="{E4435A2A-8F46-4DE0-8A40-ED699EDDD238}" name="CRM" dataDxfId="176" totalsRowDxfId="175"/>
    <tableColumn id="16" xr3:uid="{3DD52B28-3CB4-4C91-AD1C-C8046B797EB8}" name="Exactus" dataDxfId="174" totalsRowDxfId="173"/>
    <tableColumn id="17" xr3:uid="{AF109611-9393-4AED-A1E5-12F58945B7A0}" name="Web" dataDxfId="172" totalsRowDxfId="171"/>
    <tableColumn id="18" xr3:uid="{E3D52AA0-4C6A-48D6-878B-7B07567C08A4}" name="Otros" dataDxfId="170" totalsRowDxfId="169"/>
    <tableColumn id="19" xr3:uid="{BA5752E7-27F3-4015-A463-A4A33B5EFB7F}" name="Presupuesto_x000a_S/." dataDxfId="168" totalsRowDxfId="167" dataCellStyle="Moneda"/>
    <tableColumn id="25" xr3:uid="{01B30426-5095-486E-AED6-567BBDE49F8D}" name="Aprobado_x000a_S/." dataDxfId="166" totalsRowDxfId="165" dataCellStyle="Moneda">
      <calculatedColumnFormula>SUMIF(Facturas!B:B,Tabla1[[#This Row],[ID]],Facturas!P:P)</calculatedColumnFormula>
    </tableColumn>
    <tableColumn id="26" xr3:uid="{52488F61-8D01-41D9-8973-4C1AE8A91E20}" name="%_x000a_Aprob" dataDxfId="164" totalsRowDxfId="163" dataCellStyle="Porcentaje">
      <calculatedColumnFormula>Tabla1[[#This Row],[Aprobado
S/.]]/SUMIF(AB:AB,Tabla1[[#This Row],[Año Proy]],T:T)</calculatedColumnFormula>
    </tableColumn>
    <tableColumn id="20" xr3:uid="{F576193A-725A-4D32-BD91-DEEFA3FFC790}" name="Ejecutado_x000a_S/." dataDxfId="162" totalsRowDxfId="161" dataCellStyle="Moneda">
      <calculatedColumnFormula>SUMIFS(Facturas!P:P,Facturas!B:B,Tabla1[[#This Row],[ID]],Facturas!T:T,"Cancelado")</calculatedColumnFormula>
    </tableColumn>
    <tableColumn id="27" xr3:uid="{A2C5B8F2-09B3-4532-A7D3-85FD223840BA}" name="%_x000a_Ejec" dataDxfId="160" totalsRowDxfId="159" dataCellStyle="Porcentaje">
      <calculatedColumnFormula>Tabla1[[#This Row],[Ejecutado
S/.]]/SUMIF(AB:AB,Tabla1[[#This Row],[Año Proy]],T:T)</calculatedColumnFormula>
    </tableColumn>
    <tableColumn id="24" xr3:uid="{4DAF422A-1213-43E5-BB3B-F493D7E60E67}" name="Estado presupuesto" dataDxfId="158" totalsRowDxfId="157" dataCellStyle="Moneda">
      <calculatedColumnFormula>IF(Tabla1[[#This Row],[Aprobado
S/.]]&gt;0,"Aprobado","Pendiente")</calculatedColumnFormula>
    </tableColumn>
    <tableColumn id="28" xr3:uid="{378C5573-0603-4009-BCDF-73C603930F8B}" name="Fecha aprobación" dataDxfId="156" totalsRowDxfId="155" dataCellStyle="Moneda"/>
    <tableColumn id="29" xr3:uid="{D626933B-A955-432D-94B4-F70315934879}" name="mm.aa_x000a_fch aprob" dataDxfId="154" totalsRowDxfId="153" dataCellStyle="Moneda">
      <calculatedColumnFormula>Tabla1[[#This Row],[Fecha aprobación]]-DAY(Tabla1[[#This Row],[Fecha aprobación]])+1</calculatedColumnFormula>
    </tableColumn>
    <tableColumn id="21" xr3:uid="{BFB6D4CC-2DE9-4E70-8C68-521DD5778C58}" name="Año Proy" dataDxfId="152" totalsRowDxfId="151"/>
    <tableColumn id="22" xr3:uid="{151ED827-7658-470F-A658-D57781C323E4}" name="Línea de negocio" dataDxfId="150" totalsRowDxfId="149"/>
    <tableColumn id="23" xr3:uid="{612A4DFC-62FC-4226-B1D5-B0695174F145}" name="País" dataDxfId="148" totalsRowDxfId="147" dataCellStyle="Moned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1442E48-A89A-40E2-9F39-64959E84B507}" name="Tabla2" displayName="Tabla2" ref="A2:X144" totalsRowShown="0" headerRowDxfId="146" dataDxfId="144" headerRowBorderDxfId="145" tableBorderDxfId="143" totalsRowBorderDxfId="142">
  <autoFilter ref="A2:X144" xr:uid="{C1442E48-A89A-40E2-9F39-64959E84B507}"/>
  <sortState xmlns:xlrd2="http://schemas.microsoft.com/office/spreadsheetml/2017/richdata2" ref="B3:X148">
    <sortCondition ref="C2:C148"/>
  </sortState>
  <tableColumns count="24">
    <tableColumn id="23" xr3:uid="{4CC7D590-D5FC-4389-929B-A6916810B3EC}" name="Llave" dataDxfId="141" totalsRowDxfId="140"/>
    <tableColumn id="1" xr3:uid="{2D663949-8DB7-4C95-AD05-F7377A217C47}" name="ID" dataDxfId="139" totalsRowDxfId="138"/>
    <tableColumn id="2" xr3:uid="{35129493-972E-4B31-8DCD-3122493E4127}" name="Año Proy" dataDxfId="137" totalsRowDxfId="136"/>
    <tableColumn id="3" xr3:uid="{7F3B0C2E-319C-44CB-B168-C64B8544C448}" name="Fecha" dataDxfId="135" totalsRowDxfId="134"/>
    <tableColumn id="4" xr3:uid="{648B9184-03E9-40C8-8364-145CD0F4DC36}" name="Proveedor" dataDxfId="133" totalsRowDxfId="132"/>
    <tableColumn id="5" xr3:uid="{F3C4ECE7-BB34-444E-8559-C5C8A6BFB96B}" name="Código" dataDxfId="131" totalsRowDxfId="130"/>
    <tableColumn id="6" xr3:uid="{15CF9F15-746F-4822-86F6-243D3082B699}" name="Factura" dataDxfId="129" totalsRowDxfId="128"/>
    <tableColumn id="25" xr3:uid="{D5B12CF5-BC29-4E92-945B-7BDB5752008A}" name="Mes aprob" dataDxfId="127" totalsRowDxfId="126"/>
    <tableColumn id="7" xr3:uid="{4E3A7F90-2B06-4532-A39B-D6654AFD68B0}" name="OS" dataDxfId="125" totalsRowDxfId="124"/>
    <tableColumn id="8" xr3:uid="{D3CFE2BB-F007-444F-8D56-3E7B9799C13F}" name="Proyecto" dataDxfId="123" totalsRowDxfId="122"/>
    <tableColumn id="20" xr3:uid="{95677D9B-101D-4306-9883-7DAC9B8032BE}" name="# Cuota" dataDxfId="121" totalsRowDxfId="120"/>
    <tableColumn id="9" xr3:uid="{E6EB504E-B019-41CA-B20A-41551D01D85C}" name="Detalle cuota" dataDxfId="119" totalsRowDxfId="118"/>
    <tableColumn id="10" xr3:uid="{CEAFC6C7-FF23-41B4-A628-ACF225E79A75}" name="Cuota" dataDxfId="117" totalsRowDxfId="116" dataCellStyle="Moneda" totalsRowCellStyle="Moneda"/>
    <tableColumn id="11" xr3:uid="{48E90032-F44B-458D-AD56-D54194CF7E52}" name="Total cuotas" dataDxfId="115" totalsRowDxfId="114" dataCellStyle="Moneda" totalsRowCellStyle="Moneda"/>
    <tableColumn id="12" xr3:uid="{16FB9B76-A493-4AED-A7C2-3EDBC36309AB}" name="Moneda" dataDxfId="113" totalsRowDxfId="112" dataCellStyle="Moneda" totalsRowCellStyle="Moneda"/>
    <tableColumn id="13" xr3:uid="{D728368B-F9EB-453A-8472-12CE40316217}" name="Cuota S/." dataDxfId="111" totalsRowDxfId="110" dataCellStyle="Moneda" totalsRowCellStyle="Moneda">
      <calculatedColumnFormula>IF(O3="SOL",M3,M3*$J$1)</calculatedColumnFormula>
    </tableColumn>
    <tableColumn id="14" xr3:uid="{E841B0A6-3481-47F0-B6A5-10AE4BBDBF04}" name="Cuenta" dataDxfId="109" totalsRowDxfId="108"/>
    <tableColumn id="15" xr3:uid="{9676D4CE-C686-416E-BF08-CE0CACE328FB}" name="País" dataDxfId="107" totalsRowDxfId="106"/>
    <tableColumn id="16" xr3:uid="{EE3984FA-8299-4DBC-A90B-5B6CD7FD3877}" name="Área" dataDxfId="105" totalsRowDxfId="104"/>
    <tableColumn id="17" xr3:uid="{4CA033F6-0212-495A-AE2C-A6B177BECC56}" name="Estado" dataDxfId="103" totalsRowDxfId="102"/>
    <tableColumn id="21" xr3:uid="{E4F884D9-FB06-44FB-A17C-CD5A1168899F}" name="F Venc" dataDxfId="101" totalsRowDxfId="100"/>
    <tableColumn id="18" xr3:uid="{4B9DD248-BECD-4116-9044-F537887B08B6}" name="Fecha pago" dataDxfId="99" dataCellStyle="Millares" totalsRowCellStyle="Millares">
      <calculatedColumnFormula>IF(T3="Cancelado",MONTH(D3),"")</calculatedColumnFormula>
    </tableColumn>
    <tableColumn id="22" xr3:uid="{2CED41C1-7464-4884-A446-0DC691C19F46}" name="mm.aa" dataDxfId="98" totalsRowDxfId="97">
      <calculatedColumnFormula>Tabla2[[#This Row],[Fecha]]-DAY(Tabla2[[#This Row],[Fecha]])+1</calculatedColumnFormula>
    </tableColumn>
    <tableColumn id="19" xr3:uid="{7C8439AD-001B-46F2-BF94-7A4421C172F9}" name="Sistema" dataDxfId="96" totalsRowDxfId="9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FC8811C-2F66-45E3-B28B-DDFB792ED1CC}" name="Tabla4" displayName="Tabla4" ref="F1:S85" totalsRowShown="0" headerRowDxfId="72" dataDxfId="71" tableBorderDxfId="70">
  <autoFilter ref="F1:S85" xr:uid="{A3BEC44D-0BAA-4092-B876-5A53D34C8E74}"/>
  <tableColumns count="14">
    <tableColumn id="1" xr3:uid="{F3852212-587D-46D5-84C6-AFB59197B262}" name="Cuenta de ppto" dataDxfId="69"/>
    <tableColumn id="2" xr3:uid="{704DF9F5-37A9-4681-BB8D-EDF7E07F91F9}" name="Proveedor" dataDxfId="68"/>
    <tableColumn id="3" xr3:uid="{7E82AF15-7427-4032-86E6-5F5E28B3940A}" name="RUC" dataDxfId="67">
      <calculatedColumnFormula>+VLOOKUP(G2,$V$14:$Y$16,2,FALSE)</calculatedColumnFormula>
    </tableColumn>
    <tableColumn id="4" xr3:uid="{F35AD02F-7786-4BCA-97E0-B758FCCF6548}" name="N° de cuenta" dataDxfId="66">
      <calculatedColumnFormula>+VLOOKUP(G2,$V$14:$Y$16,3,FALSE)</calculatedColumnFormula>
    </tableColumn>
    <tableColumn id="5" xr3:uid="{69C88621-F639-4A84-A943-74E1D5C85C17}" name="Banco" dataDxfId="65">
      <calculatedColumnFormula>+VLOOKUP(G2,$V$14:$Y$16,4)</calculatedColumnFormula>
    </tableColumn>
    <tableColumn id="6" xr3:uid="{E943E001-1AEE-4715-AF35-BA4D0AD3215A}" name="Proyecto" dataDxfId="64"/>
    <tableColumn id="7" xr3:uid="{31DDFCB1-8D97-4A1A-8B7C-026917691B34}" name="Cuota" dataDxfId="63"/>
    <tableColumn id="8" xr3:uid="{CB7FF3B0-D98E-48E9-86D3-71FDE26DB41D}" name="Moneda" dataDxfId="62"/>
    <tableColumn id="9" xr3:uid="{F43BD77C-6C1E-4D15-9808-159A630B1C45}" name="Cantidad a comprar" dataDxfId="61"/>
    <tableColumn id="10" xr3:uid="{9FF48803-0C02-4665-9489-2B76C931B6CD}" name="Precio unitario sin IGV" dataDxfId="60"/>
    <tableColumn id="11" xr3:uid="{322FEF4F-94FC-4805-A1CB-E18245A9DC3C}" name="Total sin IGV" dataDxfId="59"/>
    <tableColumn id="12" xr3:uid="{1676EDB8-A5D1-4AE3-8410-CC4782F15333}" name="Fecha" dataDxfId="58"/>
    <tableColumn id="13" xr3:uid="{1404A83B-8FC5-41EF-AE6A-3F62BCDFFC07}" name="Condición de pago" dataDxfId="57"/>
    <tableColumn id="14" xr3:uid="{FA83041D-8550-41ED-AD11-D17428FC1D6F}" name="Estado" dataDxfId="5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5F2E2D2-F470-45A5-9AF0-DB911A2D4A96}" name="Tabla3" displayName="Tabla3" ref="B1:I9" totalsRowShown="0" headerRowDxfId="50" headerRowBorderDxfId="49" tableBorderDxfId="48">
  <autoFilter ref="B1:I9" xr:uid="{E5F2E2D2-F470-45A5-9AF0-DB911A2D4A96}">
    <filterColumn colId="0">
      <filters>
        <filter val="Kunaq &amp; Asociados S.A.C"/>
      </filters>
    </filterColumn>
  </autoFilter>
  <tableColumns count="8">
    <tableColumn id="1" xr3:uid="{B4CEEBFB-BACB-431F-A69C-CBB6879B3AFC}" name="Proveedor" dataDxfId="47"/>
    <tableColumn id="2" xr3:uid="{5B6B9E3D-40C8-4CA8-8A5F-B3E6EAA17244}" name="RUC" dataDxfId="46"/>
    <tableColumn id="3" xr3:uid="{FCD4B180-3208-4A64-A424-29BF1F114BE8}" name="N° Factura" dataDxfId="45"/>
    <tableColumn id="8" xr3:uid="{7116FB72-5C80-4655-BBF4-E40E378444AA}" name="Proyecto" dataDxfId="44"/>
    <tableColumn id="4" xr3:uid="{1AA077B7-658D-4E45-9F60-270AE78850F4}" name="Monto sin IGV" dataDxfId="43" dataCellStyle="Moneda"/>
    <tableColumn id="5" xr3:uid="{B411150E-203D-43CB-9173-241777704956}" name="F. Emisión" dataDxfId="42"/>
    <tableColumn id="6" xr3:uid="{2D68A2C7-96F0-4E71-93F7-B59114079D0C}" name="F. Vencimiento" dataDxfId="41"/>
    <tableColumn id="7" xr3:uid="{5D44751D-BFEB-4D29-93A9-4CB67006F57E}" name="Estad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4.xml.rels><?xml version="1.0" encoding="UTF-8" standalone="yes"?>
<Relationships xmlns="http://schemas.openxmlformats.org/package/2006/relationships"><Relationship Id="rId2" Type="http://schemas.microsoft.com/office/2007/relationships/slicer" Target="../slicers/slicer1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59075-1CC5-452A-B76D-5474E4C6D25B}">
  <sheetPr>
    <tabColor rgb="FF92D050"/>
  </sheetPr>
  <dimension ref="A1:AE81"/>
  <sheetViews>
    <sheetView showGridLines="0" zoomScale="99" zoomScaleNormal="100" workbookViewId="0">
      <pane xSplit="3" ySplit="2" topLeftCell="G3" activePane="bottomRight" state="frozen"/>
      <selection pane="topRight" activeCell="D1" sqref="D1"/>
      <selection pane="bottomLeft" activeCell="A3" sqref="A3"/>
      <selection pane="bottomRight" activeCell="D8" sqref="D8"/>
    </sheetView>
  </sheetViews>
  <sheetFormatPr baseColWidth="10" defaultColWidth="11.44140625" defaultRowHeight="14.4" x14ac:dyDescent="0.3"/>
  <cols>
    <col min="1" max="1" width="5.6640625" style="13" bestFit="1" customWidth="1"/>
    <col min="2" max="2" width="9.5546875" style="24" customWidth="1"/>
    <col min="3" max="3" width="41.5546875" style="6" customWidth="1"/>
    <col min="4" max="4" width="18.5546875" style="5" customWidth="1"/>
    <col min="5" max="6" width="12.109375" style="13" customWidth="1"/>
    <col min="7" max="7" width="15.88671875" style="13" bestFit="1" customWidth="1"/>
    <col min="8" max="10" width="3.5546875" style="13" customWidth="1"/>
    <col min="11" max="11" width="9.5546875" style="13" customWidth="1"/>
    <col min="12" max="12" width="8.5546875" style="13" customWidth="1"/>
    <col min="13" max="13" width="11.44140625" style="13" bestFit="1" customWidth="1"/>
    <col min="14" max="14" width="11.33203125" style="13" customWidth="1"/>
    <col min="15" max="19" width="3.5546875" style="13" customWidth="1"/>
    <col min="20" max="21" width="14.109375" style="5" customWidth="1"/>
    <col min="22" max="22" width="7.88671875" style="92" customWidth="1"/>
    <col min="23" max="23" width="14.109375" style="5" customWidth="1"/>
    <col min="24" max="24" width="7.88671875" style="92" customWidth="1"/>
    <col min="25" max="25" width="12.109375" style="5" customWidth="1"/>
    <col min="26" max="26" width="12.33203125" style="13" bestFit="1" customWidth="1"/>
    <col min="27" max="27" width="11.33203125" style="13" bestFit="1" customWidth="1"/>
    <col min="28" max="28" width="7.5546875" style="5" customWidth="1"/>
    <col min="29" max="29" width="12.44140625" style="5" customWidth="1"/>
    <col min="30" max="30" width="8.88671875" style="13" customWidth="1"/>
    <col min="31" max="50" width="11.44140625" style="5" customWidth="1"/>
    <col min="51" max="16384" width="11.44140625" style="5"/>
  </cols>
  <sheetData>
    <row r="1" spans="1:31" x14ac:dyDescent="0.3">
      <c r="C1" s="24"/>
      <c r="E1" s="253" t="s">
        <v>104</v>
      </c>
      <c r="F1" s="253"/>
      <c r="G1" s="253"/>
      <c r="H1" s="253" t="s">
        <v>144</v>
      </c>
      <c r="I1" s="253"/>
      <c r="J1" s="253"/>
      <c r="O1" s="254" t="s">
        <v>116</v>
      </c>
      <c r="P1" s="254"/>
      <c r="Q1" s="254"/>
      <c r="R1" s="254"/>
      <c r="S1" s="254"/>
      <c r="T1" s="13"/>
      <c r="U1" s="13"/>
      <c r="AB1" s="13"/>
      <c r="AC1" s="13"/>
    </row>
    <row r="2" spans="1:31" ht="43.2" x14ac:dyDescent="0.3">
      <c r="A2" s="10" t="s">
        <v>672</v>
      </c>
      <c r="B2" s="79" t="s">
        <v>520</v>
      </c>
      <c r="C2" s="80" t="s">
        <v>62</v>
      </c>
      <c r="D2" s="80" t="s">
        <v>263</v>
      </c>
      <c r="E2" s="80" t="s">
        <v>362</v>
      </c>
      <c r="F2" s="80" t="s">
        <v>363</v>
      </c>
      <c r="G2" s="80" t="s">
        <v>519</v>
      </c>
      <c r="H2" s="81" t="s">
        <v>137</v>
      </c>
      <c r="I2" s="113" t="s">
        <v>143</v>
      </c>
      <c r="J2" s="81" t="s">
        <v>156</v>
      </c>
      <c r="K2" s="80" t="s">
        <v>516</v>
      </c>
      <c r="L2" s="80" t="s">
        <v>51</v>
      </c>
      <c r="M2" s="80" t="s">
        <v>517</v>
      </c>
      <c r="N2" s="80" t="s">
        <v>366</v>
      </c>
      <c r="O2" s="82" t="s">
        <v>82</v>
      </c>
      <c r="P2" s="82" t="s">
        <v>76</v>
      </c>
      <c r="Q2" s="82" t="s">
        <v>154</v>
      </c>
      <c r="R2" s="82" t="s">
        <v>130</v>
      </c>
      <c r="S2" s="82" t="s">
        <v>117</v>
      </c>
      <c r="T2" s="80" t="s">
        <v>531</v>
      </c>
      <c r="U2" s="111" t="s">
        <v>532</v>
      </c>
      <c r="V2" s="112" t="s">
        <v>536</v>
      </c>
      <c r="W2" s="111" t="s">
        <v>533</v>
      </c>
      <c r="X2" s="112" t="s">
        <v>537</v>
      </c>
      <c r="Y2" s="111" t="s">
        <v>518</v>
      </c>
      <c r="Z2" s="80" t="s">
        <v>554</v>
      </c>
      <c r="AA2" s="115" t="s">
        <v>558</v>
      </c>
      <c r="AB2" s="80" t="s">
        <v>368</v>
      </c>
      <c r="AC2" s="80" t="s">
        <v>515</v>
      </c>
      <c r="AD2" s="87" t="s">
        <v>244</v>
      </c>
    </row>
    <row r="3" spans="1:31" x14ac:dyDescent="0.3">
      <c r="A3" s="15" t="s">
        <v>945</v>
      </c>
      <c r="B3" s="77" t="s">
        <v>336</v>
      </c>
      <c r="C3" s="4" t="s">
        <v>357</v>
      </c>
      <c r="D3" s="3"/>
      <c r="E3" s="15" t="s">
        <v>21</v>
      </c>
      <c r="F3" s="15" t="s">
        <v>21</v>
      </c>
      <c r="G3" s="15"/>
      <c r="H3" s="15" t="s">
        <v>514</v>
      </c>
      <c r="I3" s="15">
        <v>8</v>
      </c>
      <c r="J3" s="15">
        <v>8</v>
      </c>
      <c r="K3" s="15" t="s">
        <v>512</v>
      </c>
      <c r="L3" s="15" t="s">
        <v>69</v>
      </c>
      <c r="M3" s="15" t="s">
        <v>316</v>
      </c>
      <c r="N3" s="15" t="s">
        <v>367</v>
      </c>
      <c r="O3" s="16" t="s">
        <v>115</v>
      </c>
      <c r="P3" s="16"/>
      <c r="Q3" s="16"/>
      <c r="R3" s="16"/>
      <c r="S3" s="16"/>
      <c r="T3" s="7">
        <v>23000</v>
      </c>
      <c r="U3" s="7">
        <f>SUMIF(Facturas!B:B,Tabla1[[#This Row],[ID]],Facturas!P:P)</f>
        <v>24500</v>
      </c>
      <c r="V3" s="93">
        <f>Tabla1[[#This Row],[Aprobado
S/.]]/SUMIF(AB:AB,Tabla1[[#This Row],[Año Proy]],T:T)</f>
        <v>9.5703125E-2</v>
      </c>
      <c r="W3" s="7">
        <f>SUMIFS(Facturas!P:P,Facturas!B:B,Tabla1[[#This Row],[ID]],Facturas!T:T,"Cancelado")</f>
        <v>15925</v>
      </c>
      <c r="X3" s="93">
        <f>Tabla1[[#This Row],[Ejecutado
S/.]]/SUMIF(AB:AB,Tabla1[[#This Row],[Año Proy]],T:T)</f>
        <v>6.2207031250000003E-2</v>
      </c>
      <c r="Y3" s="7" t="str">
        <f>IF(Tabla1[[#This Row],[Aprobado
S/.]]&gt;0,"Aprobado","Pendiente")</f>
        <v>Aprobado</v>
      </c>
      <c r="Z3" s="107">
        <v>45261</v>
      </c>
      <c r="AA3" s="107">
        <f>Tabla1[[#This Row],[Fecha aprobación]]-DAY(Tabla1[[#This Row],[Fecha aprobación]])+1</f>
        <v>45261</v>
      </c>
      <c r="AB3" s="28">
        <v>2023</v>
      </c>
      <c r="AC3" s="28" t="s">
        <v>369</v>
      </c>
      <c r="AD3" s="78" t="s">
        <v>238</v>
      </c>
    </row>
    <row r="4" spans="1:31" x14ac:dyDescent="0.3">
      <c r="A4" s="15" t="s">
        <v>946</v>
      </c>
      <c r="B4" s="77" t="s">
        <v>337</v>
      </c>
      <c r="C4" s="4" t="s">
        <v>513</v>
      </c>
      <c r="D4" s="3"/>
      <c r="E4" s="15" t="s">
        <v>21</v>
      </c>
      <c r="F4" s="15" t="s">
        <v>21</v>
      </c>
      <c r="G4" s="15"/>
      <c r="H4" s="15" t="s">
        <v>139</v>
      </c>
      <c r="I4" s="15">
        <f t="shared" ref="I4:I36" si="0">IF(H4="S",1,IF(H4="M",2,IF(H4="L",4,IF(H4="XL",6,0))))</f>
        <v>4</v>
      </c>
      <c r="J4" s="15">
        <v>4</v>
      </c>
      <c r="K4" s="15" t="s">
        <v>512</v>
      </c>
      <c r="L4" s="15" t="s">
        <v>69</v>
      </c>
      <c r="M4" s="15" t="s">
        <v>314</v>
      </c>
      <c r="N4" s="15" t="s">
        <v>367</v>
      </c>
      <c r="O4" s="16" t="s">
        <v>115</v>
      </c>
      <c r="P4" s="16"/>
      <c r="Q4" s="16"/>
      <c r="R4" s="16" t="s">
        <v>115</v>
      </c>
      <c r="S4" s="16"/>
      <c r="T4" s="7">
        <v>29000</v>
      </c>
      <c r="U4" s="7">
        <f>SUMIF(Facturas!B:B,Tabla1[[#This Row],[ID]],Facturas!P:P)</f>
        <v>56100</v>
      </c>
      <c r="V4" s="93">
        <f>Tabla1[[#This Row],[Aprobado
S/.]]/SUMIF(AB:AB,Tabla1[[#This Row],[Año Proy]],T:T)</f>
        <v>0.21914062500000001</v>
      </c>
      <c r="W4" s="7">
        <f>SUMIFS(Facturas!P:P,Facturas!B:B,Tabla1[[#This Row],[ID]],Facturas!T:T,"Cancelado")</f>
        <v>45640</v>
      </c>
      <c r="X4" s="93">
        <f>Tabla1[[#This Row],[Ejecutado
S/.]]/SUMIF(AB:AB,Tabla1[[#This Row],[Año Proy]],T:T)</f>
        <v>0.17828125</v>
      </c>
      <c r="Y4" s="7" t="str">
        <f>IF(Tabla1[[#This Row],[Aprobado
S/.]]&gt;0,"Aprobado","Pendiente")</f>
        <v>Aprobado</v>
      </c>
      <c r="Z4" s="110">
        <v>44995</v>
      </c>
      <c r="AA4" s="110">
        <f>Tabla1[[#This Row],[Fecha aprobación]]-DAY(Tabla1[[#This Row],[Fecha aprobación]])+1</f>
        <v>44986</v>
      </c>
      <c r="AB4" s="28">
        <v>2023</v>
      </c>
      <c r="AC4" s="28" t="s">
        <v>369</v>
      </c>
      <c r="AD4" s="78" t="s">
        <v>238</v>
      </c>
    </row>
    <row r="5" spans="1:31" ht="15" customHeight="1" x14ac:dyDescent="0.3">
      <c r="A5" s="15" t="s">
        <v>947</v>
      </c>
      <c r="B5" s="77" t="s">
        <v>338</v>
      </c>
      <c r="C5" s="4" t="s">
        <v>335</v>
      </c>
      <c r="D5" s="3"/>
      <c r="E5" s="15" t="s">
        <v>21</v>
      </c>
      <c r="F5" s="15" t="s">
        <v>21</v>
      </c>
      <c r="G5" s="15"/>
      <c r="H5" s="15" t="s">
        <v>138</v>
      </c>
      <c r="I5" s="15">
        <f t="shared" si="0"/>
        <v>2</v>
      </c>
      <c r="J5" s="15">
        <v>2</v>
      </c>
      <c r="K5" s="15" t="s">
        <v>512</v>
      </c>
      <c r="L5" s="15" t="s">
        <v>69</v>
      </c>
      <c r="M5" s="15" t="s">
        <v>314</v>
      </c>
      <c r="N5" s="15" t="s">
        <v>367</v>
      </c>
      <c r="O5" s="16" t="s">
        <v>115</v>
      </c>
      <c r="P5" s="16"/>
      <c r="Q5" s="16"/>
      <c r="R5" s="16"/>
      <c r="S5" s="16"/>
      <c r="T5" s="7">
        <v>6000</v>
      </c>
      <c r="U5" s="7">
        <f>SUMIF(Facturas!B:B,Tabla1[[#This Row],[ID]],Facturas!P:P)</f>
        <v>6200</v>
      </c>
      <c r="V5" s="93">
        <f>Tabla1[[#This Row],[Aprobado
S/.]]/SUMIF(AB:AB,Tabla1[[#This Row],[Año Proy]],T:T)</f>
        <v>2.4218750000000001E-2</v>
      </c>
      <c r="W5" s="7">
        <f>SUMIFS(Facturas!P:P,Facturas!B:B,Tabla1[[#This Row],[ID]],Facturas!T:T,"Cancelado")</f>
        <v>6200</v>
      </c>
      <c r="X5" s="93">
        <f>Tabla1[[#This Row],[Ejecutado
S/.]]/SUMIF(AB:AB,Tabla1[[#This Row],[Año Proy]],T:T)</f>
        <v>2.4218750000000001E-2</v>
      </c>
      <c r="Y5" s="7" t="str">
        <f>IF(Tabla1[[#This Row],[Aprobado
S/.]]&gt;0,"Aprobado","Pendiente")</f>
        <v>Aprobado</v>
      </c>
      <c r="Z5" s="110">
        <v>45065</v>
      </c>
      <c r="AA5" s="110">
        <f>Tabla1[[#This Row],[Fecha aprobación]]-DAY(Tabla1[[#This Row],[Fecha aprobación]])+1</f>
        <v>45047</v>
      </c>
      <c r="AB5" s="28">
        <v>2023</v>
      </c>
      <c r="AC5" s="28" t="s">
        <v>369</v>
      </c>
      <c r="AD5" s="78" t="s">
        <v>238</v>
      </c>
    </row>
    <row r="6" spans="1:31" x14ac:dyDescent="0.3">
      <c r="A6" s="15" t="s">
        <v>948</v>
      </c>
      <c r="B6" s="77" t="s">
        <v>339</v>
      </c>
      <c r="C6" s="4" t="s">
        <v>334</v>
      </c>
      <c r="D6" s="3"/>
      <c r="E6" s="15" t="s">
        <v>21</v>
      </c>
      <c r="F6" s="15" t="s">
        <v>21</v>
      </c>
      <c r="G6" s="15"/>
      <c r="H6" s="15" t="s">
        <v>138</v>
      </c>
      <c r="I6" s="15">
        <f t="shared" si="0"/>
        <v>2</v>
      </c>
      <c r="J6" s="15">
        <v>2</v>
      </c>
      <c r="K6" s="15" t="s">
        <v>512</v>
      </c>
      <c r="L6" s="15" t="s">
        <v>69</v>
      </c>
      <c r="M6" s="15" t="s">
        <v>314</v>
      </c>
      <c r="N6" s="15" t="s">
        <v>367</v>
      </c>
      <c r="O6" s="16" t="s">
        <v>115</v>
      </c>
      <c r="P6" s="16"/>
      <c r="Q6" s="16"/>
      <c r="R6" s="16"/>
      <c r="S6" s="16"/>
      <c r="T6" s="7">
        <v>2000</v>
      </c>
      <c r="U6" s="7">
        <f>SUMIF(Facturas!B:B,Tabla1[[#This Row],[ID]],Facturas!P:P)</f>
        <v>11080</v>
      </c>
      <c r="V6" s="93">
        <f>Tabla1[[#This Row],[Aprobado
S/.]]/SUMIF(AB:AB,Tabla1[[#This Row],[Año Proy]],T:T)</f>
        <v>4.328125E-2</v>
      </c>
      <c r="W6" s="7">
        <f>SUMIFS(Facturas!P:P,Facturas!B:B,Tabla1[[#This Row],[ID]],Facturas!T:T,"Cancelado")</f>
        <v>11080</v>
      </c>
      <c r="X6" s="93">
        <f>Tabla1[[#This Row],[Ejecutado
S/.]]/SUMIF(AB:AB,Tabla1[[#This Row],[Año Proy]],T:T)</f>
        <v>4.328125E-2</v>
      </c>
      <c r="Y6" s="7" t="str">
        <f>IF(Tabla1[[#This Row],[Aprobado
S/.]]&gt;0,"Aprobado","Pendiente")</f>
        <v>Aprobado</v>
      </c>
      <c r="Z6" s="110">
        <v>45065</v>
      </c>
      <c r="AA6" s="110">
        <f>Tabla1[[#This Row],[Fecha aprobación]]-DAY(Tabla1[[#This Row],[Fecha aprobación]])+1</f>
        <v>45047</v>
      </c>
      <c r="AB6" s="28">
        <v>2023</v>
      </c>
      <c r="AC6" s="28" t="s">
        <v>369</v>
      </c>
      <c r="AD6" s="78" t="s">
        <v>238</v>
      </c>
    </row>
    <row r="7" spans="1:31" x14ac:dyDescent="0.3">
      <c r="A7" s="15" t="s">
        <v>949</v>
      </c>
      <c r="B7" s="77" t="s">
        <v>340</v>
      </c>
      <c r="C7" s="4" t="s">
        <v>131</v>
      </c>
      <c r="D7" s="3"/>
      <c r="E7" s="15" t="s">
        <v>110</v>
      </c>
      <c r="F7" s="15" t="s">
        <v>13</v>
      </c>
      <c r="G7" s="15"/>
      <c r="H7" s="15" t="s">
        <v>139</v>
      </c>
      <c r="I7" s="15">
        <f t="shared" si="0"/>
        <v>4</v>
      </c>
      <c r="J7" s="15">
        <v>2</v>
      </c>
      <c r="K7" s="15" t="s">
        <v>371</v>
      </c>
      <c r="L7" s="15" t="s">
        <v>371</v>
      </c>
      <c r="M7" s="15" t="s">
        <v>316</v>
      </c>
      <c r="N7" s="15" t="s">
        <v>367</v>
      </c>
      <c r="O7" s="16" t="s">
        <v>115</v>
      </c>
      <c r="P7" s="16"/>
      <c r="Q7" s="16" t="s">
        <v>115</v>
      </c>
      <c r="R7" s="16"/>
      <c r="S7" s="16"/>
      <c r="T7" s="7">
        <v>20000</v>
      </c>
      <c r="U7" s="7">
        <f>SUMIF(Facturas!B:B,Tabla1[[#This Row],[ID]],Facturas!P:P)</f>
        <v>29000</v>
      </c>
      <c r="V7" s="93">
        <f>Tabla1[[#This Row],[Aprobado
S/.]]/SUMIF(AB:AB,Tabla1[[#This Row],[Año Proy]],T:T)</f>
        <v>0.11328125</v>
      </c>
      <c r="W7" s="7">
        <f>SUMIFS(Facturas!P:P,Facturas!B:B,Tabla1[[#This Row],[ID]],Facturas!T:T,"Cancelado")</f>
        <v>16705</v>
      </c>
      <c r="X7" s="93">
        <f>Tabla1[[#This Row],[Ejecutado
S/.]]/SUMIF(AB:AB,Tabla1[[#This Row],[Año Proy]],T:T)</f>
        <v>6.5253906249999993E-2</v>
      </c>
      <c r="Y7" s="7" t="str">
        <f>IF(Tabla1[[#This Row],[Aprobado
S/.]]&gt;0,"Aprobado","Pendiente")</f>
        <v>Aprobado</v>
      </c>
      <c r="Z7" s="110">
        <v>45229</v>
      </c>
      <c r="AA7" s="110">
        <f>Tabla1[[#This Row],[Fecha aprobación]]-DAY(Tabla1[[#This Row],[Fecha aprobación]])+1</f>
        <v>45200</v>
      </c>
      <c r="AB7" s="28">
        <v>2023</v>
      </c>
      <c r="AC7" s="28" t="s">
        <v>369</v>
      </c>
      <c r="AD7" s="78" t="s">
        <v>238</v>
      </c>
    </row>
    <row r="8" spans="1:31" x14ac:dyDescent="0.3">
      <c r="A8" s="15" t="s">
        <v>950</v>
      </c>
      <c r="B8" s="77" t="s">
        <v>341</v>
      </c>
      <c r="C8" s="4" t="s">
        <v>358</v>
      </c>
      <c r="D8" s="3" t="s">
        <v>575</v>
      </c>
      <c r="E8" s="15" t="s">
        <v>243</v>
      </c>
      <c r="F8" s="15" t="s">
        <v>19</v>
      </c>
      <c r="G8" s="15"/>
      <c r="H8" s="15" t="s">
        <v>138</v>
      </c>
      <c r="I8" s="15">
        <f t="shared" si="0"/>
        <v>2</v>
      </c>
      <c r="J8" s="15">
        <v>2</v>
      </c>
      <c r="K8" s="15" t="s">
        <v>372</v>
      </c>
      <c r="L8" s="15" t="s">
        <v>69</v>
      </c>
      <c r="M8" s="15" t="s">
        <v>68</v>
      </c>
      <c r="N8" s="15" t="s">
        <v>367</v>
      </c>
      <c r="O8" s="16" t="s">
        <v>115</v>
      </c>
      <c r="P8" s="16"/>
      <c r="Q8" s="16"/>
      <c r="R8" s="16" t="s">
        <v>115</v>
      </c>
      <c r="S8" s="16"/>
      <c r="T8" s="7">
        <v>22500</v>
      </c>
      <c r="U8" s="7">
        <f>SUMIF(Facturas!B:B,Tabla1[[#This Row],[ID]],Facturas!P:P)</f>
        <v>0</v>
      </c>
      <c r="V8" s="93">
        <f>Tabla1[[#This Row],[Aprobado
S/.]]/SUMIF(AB:AB,Tabla1[[#This Row],[Año Proy]],T:T)</f>
        <v>0</v>
      </c>
      <c r="W8" s="7">
        <f>SUMIFS(Facturas!P:P,Facturas!B:B,Tabla1[[#This Row],[ID]],Facturas!T:T,"Cancelado")</f>
        <v>0</v>
      </c>
      <c r="X8" s="93">
        <f>Tabla1[[#This Row],[Ejecutado
S/.]]/SUMIF(AB:AB,Tabla1[[#This Row],[Año Proy]],T:T)</f>
        <v>0</v>
      </c>
      <c r="Y8" s="7" t="str">
        <f>IF(Tabla1[[#This Row],[Aprobado
S/.]]&gt;0,"Aprobado","Pendiente")</f>
        <v>Pendiente</v>
      </c>
      <c r="Z8" s="110"/>
      <c r="AA8" s="110">
        <f>Tabla1[[#This Row],[Fecha aprobación]]-DAY(Tabla1[[#This Row],[Fecha aprobación]])+1</f>
        <v>1</v>
      </c>
      <c r="AB8" s="28">
        <v>2023</v>
      </c>
      <c r="AC8" s="28" t="s">
        <v>369</v>
      </c>
      <c r="AD8" s="78" t="s">
        <v>238</v>
      </c>
      <c r="AE8" s="156"/>
    </row>
    <row r="9" spans="1:31" x14ac:dyDescent="0.3">
      <c r="A9" s="15" t="s">
        <v>951</v>
      </c>
      <c r="B9" s="77" t="s">
        <v>342</v>
      </c>
      <c r="C9" s="4" t="s">
        <v>359</v>
      </c>
      <c r="D9" s="3" t="s">
        <v>574</v>
      </c>
      <c r="E9" s="15" t="s">
        <v>364</v>
      </c>
      <c r="F9" s="15" t="s">
        <v>14</v>
      </c>
      <c r="G9" s="15"/>
      <c r="H9" s="15" t="s">
        <v>139</v>
      </c>
      <c r="I9" s="15">
        <f t="shared" si="0"/>
        <v>4</v>
      </c>
      <c r="J9" s="15">
        <v>4</v>
      </c>
      <c r="K9" s="15" t="s">
        <v>112</v>
      </c>
      <c r="L9" s="15" t="s">
        <v>69</v>
      </c>
      <c r="M9" s="15" t="s">
        <v>314</v>
      </c>
      <c r="N9" s="15" t="s">
        <v>367</v>
      </c>
      <c r="O9" s="16" t="s">
        <v>115</v>
      </c>
      <c r="P9" s="16"/>
      <c r="Q9" s="16"/>
      <c r="R9" s="16" t="s">
        <v>115</v>
      </c>
      <c r="S9" s="16"/>
      <c r="T9" s="7">
        <v>22500</v>
      </c>
      <c r="U9" s="7">
        <f>SUMIF(Facturas!B:B,Tabla1[[#This Row],[ID]],Facturas!P:P)</f>
        <v>32840</v>
      </c>
      <c r="V9" s="93">
        <f>Tabla1[[#This Row],[Aprobado
S/.]]/SUMIF(AB:AB,Tabla1[[#This Row],[Año Proy]],T:T)</f>
        <v>0.12828125000000001</v>
      </c>
      <c r="W9" s="7">
        <f>SUMIFS(Facturas!P:P,Facturas!B:B,Tabla1[[#This Row],[ID]],Facturas!T:T,"Cancelado")</f>
        <v>32840</v>
      </c>
      <c r="X9" s="93">
        <f>Tabla1[[#This Row],[Ejecutado
S/.]]/SUMIF(AB:AB,Tabla1[[#This Row],[Año Proy]],T:T)</f>
        <v>0.12828125000000001</v>
      </c>
      <c r="Y9" s="7" t="str">
        <f>IF(Tabla1[[#This Row],[Aprobado
S/.]]&gt;0,"Aprobado","Pendiente")</f>
        <v>Aprobado</v>
      </c>
      <c r="Z9" s="107">
        <v>45139</v>
      </c>
      <c r="AA9" s="110">
        <f>Tabla1[[#This Row],[Fecha aprobación]]-DAY(Tabla1[[#This Row],[Fecha aprobación]])+1</f>
        <v>45139</v>
      </c>
      <c r="AB9" s="28">
        <v>2023</v>
      </c>
      <c r="AC9" s="28" t="s">
        <v>369</v>
      </c>
      <c r="AD9" s="78" t="s">
        <v>238</v>
      </c>
    </row>
    <row r="10" spans="1:31" x14ac:dyDescent="0.3">
      <c r="A10" s="15" t="s">
        <v>952</v>
      </c>
      <c r="B10" s="77" t="s">
        <v>343</v>
      </c>
      <c r="C10" s="4" t="s">
        <v>360</v>
      </c>
      <c r="D10" s="3"/>
      <c r="E10" s="15" t="s">
        <v>110</v>
      </c>
      <c r="F10" s="15" t="s">
        <v>13</v>
      </c>
      <c r="G10" s="15"/>
      <c r="H10" s="15" t="s">
        <v>140</v>
      </c>
      <c r="I10" s="15">
        <f t="shared" si="0"/>
        <v>1</v>
      </c>
      <c r="J10" s="15">
        <v>0</v>
      </c>
      <c r="K10" s="15" t="s">
        <v>371</v>
      </c>
      <c r="L10" s="15" t="s">
        <v>69</v>
      </c>
      <c r="M10" s="15" t="s">
        <v>314</v>
      </c>
      <c r="N10" s="15" t="s">
        <v>367</v>
      </c>
      <c r="O10" s="16"/>
      <c r="P10" s="16"/>
      <c r="Q10" s="16" t="s">
        <v>115</v>
      </c>
      <c r="R10" s="16"/>
      <c r="S10" s="16"/>
      <c r="T10" s="7">
        <v>4000</v>
      </c>
      <c r="U10" s="7">
        <f>SUMIF(Facturas!B:B,Tabla1[[#This Row],[ID]],Facturas!P:P)</f>
        <v>0</v>
      </c>
      <c r="V10" s="93">
        <f>Tabla1[[#This Row],[Aprobado
S/.]]/SUMIF(AB:AB,Tabla1[[#This Row],[Año Proy]],T:T)</f>
        <v>0</v>
      </c>
      <c r="W10" s="7">
        <f>SUMIFS(Facturas!P:P,Facturas!B:B,Tabla1[[#This Row],[ID]],Facturas!T:T,"Cancelado")</f>
        <v>0</v>
      </c>
      <c r="X10" s="93">
        <f>Tabla1[[#This Row],[Ejecutado
S/.]]/SUMIF(AB:AB,Tabla1[[#This Row],[Año Proy]],T:T)</f>
        <v>0</v>
      </c>
      <c r="Y10" s="7" t="str">
        <f>IF(Tabla1[[#This Row],[Aprobado
S/.]]&gt;0,"Aprobado","Pendiente")</f>
        <v>Pendiente</v>
      </c>
      <c r="Z10" s="110"/>
      <c r="AA10" s="110">
        <f>Tabla1[[#This Row],[Fecha aprobación]]-DAY(Tabla1[[#This Row],[Fecha aprobación]])+1</f>
        <v>1</v>
      </c>
      <c r="AB10" s="28">
        <v>2023</v>
      </c>
      <c r="AC10" s="28" t="s">
        <v>369</v>
      </c>
      <c r="AD10" s="78" t="s">
        <v>238</v>
      </c>
    </row>
    <row r="11" spans="1:31" x14ac:dyDescent="0.3">
      <c r="A11" s="15" t="s">
        <v>953</v>
      </c>
      <c r="B11" s="77" t="s">
        <v>344</v>
      </c>
      <c r="C11" s="4" t="s">
        <v>361</v>
      </c>
      <c r="D11" s="3" t="s">
        <v>88</v>
      </c>
      <c r="E11" s="15" t="s">
        <v>243</v>
      </c>
      <c r="F11" s="15" t="s">
        <v>19</v>
      </c>
      <c r="G11" s="15"/>
      <c r="H11" s="15" t="s">
        <v>138</v>
      </c>
      <c r="I11" s="15">
        <f t="shared" si="0"/>
        <v>2</v>
      </c>
      <c r="J11" s="15">
        <v>1</v>
      </c>
      <c r="K11" s="15" t="s">
        <v>372</v>
      </c>
      <c r="L11" s="15" t="s">
        <v>372</v>
      </c>
      <c r="M11" s="15" t="s">
        <v>314</v>
      </c>
      <c r="N11" s="15" t="s">
        <v>367</v>
      </c>
      <c r="O11" s="16" t="s">
        <v>115</v>
      </c>
      <c r="P11" s="16"/>
      <c r="Q11" s="16"/>
      <c r="R11" s="16" t="s">
        <v>115</v>
      </c>
      <c r="S11" s="16"/>
      <c r="T11" s="7">
        <v>20000</v>
      </c>
      <c r="U11" s="7">
        <f>SUMIF(Facturas!B:B,Tabla1[[#This Row],[ID]],Facturas!P:P)</f>
        <v>2420</v>
      </c>
      <c r="V11" s="93">
        <f>Tabla1[[#This Row],[Aprobado
S/.]]/SUMIF(AB:AB,Tabla1[[#This Row],[Año Proy]],T:T)</f>
        <v>9.4531249999999997E-3</v>
      </c>
      <c r="W11" s="7">
        <f>SUMIFS(Facturas!P:P,Facturas!B:B,Tabla1[[#This Row],[ID]],Facturas!T:T,"Cancelado")</f>
        <v>2420</v>
      </c>
      <c r="X11" s="93">
        <f>Tabla1[[#This Row],[Ejecutado
S/.]]/SUMIF(AB:AB,Tabla1[[#This Row],[Año Proy]],T:T)</f>
        <v>9.4531249999999997E-3</v>
      </c>
      <c r="Y11" s="7" t="str">
        <f>IF(Tabla1[[#This Row],[Aprobado
S/.]]&gt;0,"Aprobado","Pendiente")</f>
        <v>Aprobado</v>
      </c>
      <c r="Z11" s="107">
        <v>45231</v>
      </c>
      <c r="AA11" s="110">
        <f>Tabla1[[#This Row],[Fecha aprobación]]-DAY(Tabla1[[#This Row],[Fecha aprobación]])+1</f>
        <v>45231</v>
      </c>
      <c r="AB11" s="28">
        <v>2023</v>
      </c>
      <c r="AC11" s="28" t="s">
        <v>369</v>
      </c>
      <c r="AD11" s="78" t="s">
        <v>238</v>
      </c>
    </row>
    <row r="12" spans="1:31" x14ac:dyDescent="0.3">
      <c r="A12" s="15" t="s">
        <v>954</v>
      </c>
      <c r="B12" s="77" t="s">
        <v>345</v>
      </c>
      <c r="C12" s="4" t="s">
        <v>43</v>
      </c>
      <c r="D12" s="3" t="s">
        <v>103</v>
      </c>
      <c r="E12" s="15" t="s">
        <v>15</v>
      </c>
      <c r="F12" s="15" t="s">
        <v>15</v>
      </c>
      <c r="G12" s="15" t="s">
        <v>16</v>
      </c>
      <c r="H12" s="15" t="s">
        <v>138</v>
      </c>
      <c r="I12" s="15">
        <f t="shared" si="0"/>
        <v>2</v>
      </c>
      <c r="J12" s="15">
        <v>2</v>
      </c>
      <c r="K12" s="15" t="s">
        <v>113</v>
      </c>
      <c r="L12" s="15" t="s">
        <v>69</v>
      </c>
      <c r="M12" s="15" t="s">
        <v>316</v>
      </c>
      <c r="N12" s="15" t="s">
        <v>367</v>
      </c>
      <c r="O12" s="16" t="s">
        <v>115</v>
      </c>
      <c r="P12" s="16"/>
      <c r="Q12" s="16"/>
      <c r="R12" s="16"/>
      <c r="S12" s="16"/>
      <c r="T12" s="7">
        <v>13000</v>
      </c>
      <c r="U12" s="7">
        <f>SUMIF(Facturas!B:B,Tabla1[[#This Row],[ID]],Facturas!P:P)</f>
        <v>11100</v>
      </c>
      <c r="V12" s="93">
        <f>Tabla1[[#This Row],[Aprobado
S/.]]/SUMIF(AB:AB,Tabla1[[#This Row],[Año Proy]],T:T)</f>
        <v>4.3359374999999999E-2</v>
      </c>
      <c r="W12" s="7">
        <f>SUMIFS(Facturas!P:P,Facturas!B:B,Tabla1[[#This Row],[ID]],Facturas!T:T,"Cancelado")</f>
        <v>5550</v>
      </c>
      <c r="X12" s="93">
        <f>Tabla1[[#This Row],[Ejecutado
S/.]]/SUMIF(AB:AB,Tabla1[[#This Row],[Año Proy]],T:T)</f>
        <v>2.1679687499999999E-2</v>
      </c>
      <c r="Y12" s="7" t="str">
        <f>IF(Tabla1[[#This Row],[Aprobado
S/.]]&gt;0,"Aprobado","Pendiente")</f>
        <v>Aprobado</v>
      </c>
      <c r="Z12" s="107">
        <v>45231</v>
      </c>
      <c r="AA12" s="110">
        <f>Tabla1[[#This Row],[Fecha aprobación]]-DAY(Tabla1[[#This Row],[Fecha aprobación]])+1</f>
        <v>45231</v>
      </c>
      <c r="AB12" s="28">
        <v>2023</v>
      </c>
      <c r="AC12" s="28" t="s">
        <v>369</v>
      </c>
      <c r="AD12" s="78" t="s">
        <v>238</v>
      </c>
    </row>
    <row r="13" spans="1:31" x14ac:dyDescent="0.3">
      <c r="A13" s="15" t="s">
        <v>955</v>
      </c>
      <c r="B13" s="77" t="s">
        <v>346</v>
      </c>
      <c r="C13" s="4" t="s">
        <v>326</v>
      </c>
      <c r="D13" s="3"/>
      <c r="E13" s="15" t="s">
        <v>15</v>
      </c>
      <c r="F13" s="15" t="s">
        <v>15</v>
      </c>
      <c r="G13" s="15"/>
      <c r="H13" s="15" t="s">
        <v>140</v>
      </c>
      <c r="I13" s="15">
        <f t="shared" si="0"/>
        <v>1</v>
      </c>
      <c r="J13" s="15">
        <v>1</v>
      </c>
      <c r="K13" s="15" t="s">
        <v>113</v>
      </c>
      <c r="L13" s="15" t="s">
        <v>69</v>
      </c>
      <c r="M13" s="15" t="s">
        <v>314</v>
      </c>
      <c r="N13" s="15" t="s">
        <v>380</v>
      </c>
      <c r="O13" s="16"/>
      <c r="P13" s="16" t="s">
        <v>115</v>
      </c>
      <c r="Q13" s="16"/>
      <c r="R13" s="16"/>
      <c r="S13" s="16"/>
      <c r="T13" s="7">
        <v>2000</v>
      </c>
      <c r="U13" s="7">
        <f>SUMIF(Facturas!B:B,Tabla1[[#This Row],[ID]],Facturas!P:P)</f>
        <v>1200</v>
      </c>
      <c r="V13" s="93">
        <f>Tabla1[[#This Row],[Aprobado
S/.]]/SUMIF(AB:AB,Tabla1[[#This Row],[Año Proy]],T:T)</f>
        <v>4.6874999999999998E-3</v>
      </c>
      <c r="W13" s="7">
        <f>SUMIFS(Facturas!P:P,Facturas!B:B,Tabla1[[#This Row],[ID]],Facturas!T:T,"Cancelado")</f>
        <v>1200</v>
      </c>
      <c r="X13" s="93">
        <f>Tabla1[[#This Row],[Ejecutado
S/.]]/SUMIF(AB:AB,Tabla1[[#This Row],[Año Proy]],T:T)</f>
        <v>4.6874999999999998E-3</v>
      </c>
      <c r="Y13" s="7" t="str">
        <f>IF(Tabla1[[#This Row],[Aprobado
S/.]]&gt;0,"Aprobado","Pendiente")</f>
        <v>Aprobado</v>
      </c>
      <c r="Z13" s="110">
        <v>44960</v>
      </c>
      <c r="AA13" s="110">
        <f>Tabla1[[#This Row],[Fecha aprobación]]-DAY(Tabla1[[#This Row],[Fecha aprobación]])+1</f>
        <v>44958</v>
      </c>
      <c r="AB13" s="28">
        <v>2023</v>
      </c>
      <c r="AC13" s="28" t="s">
        <v>369</v>
      </c>
      <c r="AD13" s="78" t="s">
        <v>238</v>
      </c>
    </row>
    <row r="14" spans="1:31" x14ac:dyDescent="0.3">
      <c r="A14" s="15" t="s">
        <v>956</v>
      </c>
      <c r="B14" s="77" t="s">
        <v>347</v>
      </c>
      <c r="C14" s="4" t="s">
        <v>730</v>
      </c>
      <c r="D14" s="3"/>
      <c r="E14" s="15" t="s">
        <v>243</v>
      </c>
      <c r="F14" s="15" t="s">
        <v>16</v>
      </c>
      <c r="G14" s="15"/>
      <c r="H14" s="15" t="s">
        <v>138</v>
      </c>
      <c r="I14" s="15">
        <f t="shared" si="0"/>
        <v>2</v>
      </c>
      <c r="J14" s="15">
        <v>2</v>
      </c>
      <c r="K14" s="15" t="s">
        <v>373</v>
      </c>
      <c r="L14" s="15" t="s">
        <v>69</v>
      </c>
      <c r="M14" s="15" t="s">
        <v>316</v>
      </c>
      <c r="N14" s="15" t="s">
        <v>367</v>
      </c>
      <c r="O14" s="16" t="s">
        <v>115</v>
      </c>
      <c r="P14" s="16"/>
      <c r="Q14" s="16"/>
      <c r="R14" s="16"/>
      <c r="S14" s="16" t="s">
        <v>115</v>
      </c>
      <c r="T14" s="7">
        <v>10000</v>
      </c>
      <c r="U14" s="7">
        <f>SUMIF(Facturas!B:B,Tabla1[[#This Row],[ID]],Facturas!P:P)</f>
        <v>32510</v>
      </c>
      <c r="V14" s="93">
        <f>Tabla1[[#This Row],[Aprobado
S/.]]/SUMIF(AB:AB,Tabla1[[#This Row],[Año Proy]],T:T)</f>
        <v>0.12699218749999999</v>
      </c>
      <c r="W14" s="7">
        <f>SUMIFS(Facturas!P:P,Facturas!B:B,Tabla1[[#This Row],[ID]],Facturas!T:T,"Cancelado")</f>
        <v>17535</v>
      </c>
      <c r="X14" s="93">
        <f>Tabla1[[#This Row],[Ejecutado
S/.]]/SUMIF(AB:AB,Tabla1[[#This Row],[Año Proy]],T:T)</f>
        <v>6.8496093750000001E-2</v>
      </c>
      <c r="Y14" s="7" t="str">
        <f>IF(Tabla1[[#This Row],[Aprobado
S/.]]&gt;0,"Aprobado","Pendiente")</f>
        <v>Aprobado</v>
      </c>
      <c r="Z14" s="107">
        <v>45231</v>
      </c>
      <c r="AA14" s="110">
        <f>Tabla1[[#This Row],[Fecha aprobación]]-DAY(Tabla1[[#This Row],[Fecha aprobación]])+1</f>
        <v>45231</v>
      </c>
      <c r="AB14" s="28">
        <v>2023</v>
      </c>
      <c r="AC14" s="28" t="s">
        <v>369</v>
      </c>
      <c r="AD14" s="78" t="s">
        <v>238</v>
      </c>
    </row>
    <row r="15" spans="1:31" x14ac:dyDescent="0.3">
      <c r="A15" s="15" t="s">
        <v>957</v>
      </c>
      <c r="B15" s="77" t="s">
        <v>348</v>
      </c>
      <c r="C15" s="4" t="s">
        <v>661</v>
      </c>
      <c r="D15" s="3"/>
      <c r="E15" s="15" t="s">
        <v>243</v>
      </c>
      <c r="F15" s="15" t="s">
        <v>16</v>
      </c>
      <c r="G15" s="15"/>
      <c r="H15" s="15" t="s">
        <v>138</v>
      </c>
      <c r="I15" s="15">
        <f t="shared" si="0"/>
        <v>2</v>
      </c>
      <c r="J15" s="15">
        <v>2</v>
      </c>
      <c r="K15" s="15" t="s">
        <v>373</v>
      </c>
      <c r="L15" s="15" t="s">
        <v>373</v>
      </c>
      <c r="M15" s="15" t="s">
        <v>316</v>
      </c>
      <c r="N15" s="15" t="s">
        <v>367</v>
      </c>
      <c r="O15" s="16" t="s">
        <v>115</v>
      </c>
      <c r="P15" s="16"/>
      <c r="Q15" s="16"/>
      <c r="R15" s="16"/>
      <c r="S15" s="16"/>
      <c r="T15" s="7">
        <v>12000</v>
      </c>
      <c r="U15" s="7">
        <f>SUMIF(Facturas!B:B,Tabla1[[#This Row],[ID]],Facturas!P:P)</f>
        <v>11200</v>
      </c>
      <c r="V15" s="93">
        <f>Tabla1[[#This Row],[Aprobado
S/.]]/SUMIF(AB:AB,Tabla1[[#This Row],[Año Proy]],T:T)</f>
        <v>4.3749999999999997E-2</v>
      </c>
      <c r="W15" s="7">
        <f>SUMIFS(Facturas!P:P,Facturas!B:B,Tabla1[[#This Row],[ID]],Facturas!T:T,"Cancelado")</f>
        <v>5600</v>
      </c>
      <c r="X15" s="93">
        <f>Tabla1[[#This Row],[Ejecutado
S/.]]/SUMIF(AB:AB,Tabla1[[#This Row],[Año Proy]],T:T)</f>
        <v>2.1874999999999999E-2</v>
      </c>
      <c r="Y15" s="7" t="str">
        <f>IF(Tabla1[[#This Row],[Aprobado
S/.]]&gt;0,"Aprobado","Pendiente")</f>
        <v>Aprobado</v>
      </c>
      <c r="Z15" s="107">
        <v>45200</v>
      </c>
      <c r="AA15" s="110">
        <f>Tabla1[[#This Row],[Fecha aprobación]]-DAY(Tabla1[[#This Row],[Fecha aprobación]])+1</f>
        <v>45200</v>
      </c>
      <c r="AB15" s="28">
        <v>2023</v>
      </c>
      <c r="AC15" s="28" t="s">
        <v>369</v>
      </c>
      <c r="AD15" s="78" t="s">
        <v>238</v>
      </c>
    </row>
    <row r="16" spans="1:31" x14ac:dyDescent="0.3">
      <c r="A16" s="15" t="s">
        <v>958</v>
      </c>
      <c r="B16" s="77" t="s">
        <v>349</v>
      </c>
      <c r="C16" s="4" t="s">
        <v>528</v>
      </c>
      <c r="D16" s="3"/>
      <c r="E16" s="15" t="s">
        <v>15</v>
      </c>
      <c r="F16" s="15" t="s">
        <v>15</v>
      </c>
      <c r="G16" s="15"/>
      <c r="H16" s="15" t="s">
        <v>138</v>
      </c>
      <c r="I16" s="15">
        <f t="shared" si="0"/>
        <v>2</v>
      </c>
      <c r="J16" s="15">
        <v>2</v>
      </c>
      <c r="K16" s="15" t="s">
        <v>113</v>
      </c>
      <c r="L16" s="15" t="s">
        <v>69</v>
      </c>
      <c r="M16" s="15" t="s">
        <v>316</v>
      </c>
      <c r="N16" s="15" t="s">
        <v>367</v>
      </c>
      <c r="O16" s="16" t="s">
        <v>115</v>
      </c>
      <c r="P16" s="16" t="s">
        <v>115</v>
      </c>
      <c r="Q16" s="16"/>
      <c r="R16" s="16"/>
      <c r="S16" s="16"/>
      <c r="T16" s="7">
        <v>8000</v>
      </c>
      <c r="U16" s="7">
        <f>SUMIF(Facturas!B:B,Tabla1[[#This Row],[ID]],Facturas!P:P)</f>
        <v>13910</v>
      </c>
      <c r="V16" s="93">
        <f>Tabla1[[#This Row],[Aprobado
S/.]]/SUMIF(AB:AB,Tabla1[[#This Row],[Año Proy]],T:T)</f>
        <v>5.4335937500000001E-2</v>
      </c>
      <c r="W16" s="7">
        <f>SUMIFS(Facturas!P:P,Facturas!B:B,Tabla1[[#This Row],[ID]],Facturas!T:T,"Cancelado")</f>
        <v>13910</v>
      </c>
      <c r="X16" s="93">
        <f>Tabla1[[#This Row],[Ejecutado
S/.]]/SUMIF(AB:AB,Tabla1[[#This Row],[Año Proy]],T:T)</f>
        <v>5.4335937500000001E-2</v>
      </c>
      <c r="Y16" s="7" t="str">
        <f>IF(Tabla1[[#This Row],[Aprobado
S/.]]&gt;0,"Aprobado","Pendiente")</f>
        <v>Aprobado</v>
      </c>
      <c r="Z16" s="110">
        <v>45012</v>
      </c>
      <c r="AA16" s="110">
        <f>Tabla1[[#This Row],[Fecha aprobación]]-DAY(Tabla1[[#This Row],[Fecha aprobación]])+1</f>
        <v>44986</v>
      </c>
      <c r="AB16" s="28">
        <v>2023</v>
      </c>
      <c r="AC16" s="28" t="s">
        <v>369</v>
      </c>
      <c r="AD16" s="78" t="s">
        <v>238</v>
      </c>
    </row>
    <row r="17" spans="1:30" x14ac:dyDescent="0.3">
      <c r="A17" s="15" t="s">
        <v>959</v>
      </c>
      <c r="B17" s="77" t="s">
        <v>350</v>
      </c>
      <c r="C17" s="4" t="s">
        <v>365</v>
      </c>
      <c r="D17" s="3"/>
      <c r="E17" s="15" t="s">
        <v>243</v>
      </c>
      <c r="F17" s="15" t="s">
        <v>97</v>
      </c>
      <c r="G17" s="15"/>
      <c r="H17" s="15" t="s">
        <v>138</v>
      </c>
      <c r="I17" s="15">
        <f t="shared" si="0"/>
        <v>2</v>
      </c>
      <c r="J17" s="15">
        <v>2</v>
      </c>
      <c r="K17" s="15" t="s">
        <v>69</v>
      </c>
      <c r="L17" s="15" t="s">
        <v>69</v>
      </c>
      <c r="M17" s="15" t="s">
        <v>316</v>
      </c>
      <c r="N17" s="15" t="s">
        <v>367</v>
      </c>
      <c r="O17" s="16" t="s">
        <v>115</v>
      </c>
      <c r="P17" s="16" t="s">
        <v>115</v>
      </c>
      <c r="Q17" s="16" t="s">
        <v>115</v>
      </c>
      <c r="R17" s="16" t="s">
        <v>115</v>
      </c>
      <c r="S17" s="16"/>
      <c r="T17" s="7">
        <v>5000</v>
      </c>
      <c r="U17" s="7">
        <f>SUMIF(Facturas!B:B,Tabla1[[#This Row],[ID]],Facturas!P:P)</f>
        <v>5910</v>
      </c>
      <c r="V17" s="93">
        <f>Tabla1[[#This Row],[Aprobado
S/.]]/SUMIF(AB:AB,Tabla1[[#This Row],[Año Proy]],T:T)</f>
        <v>2.3085937500000001E-2</v>
      </c>
      <c r="W17" s="7">
        <f>SUMIFS(Facturas!P:P,Facturas!B:B,Tabla1[[#This Row],[ID]],Facturas!T:T,"Cancelado")</f>
        <v>5910</v>
      </c>
      <c r="X17" s="93">
        <f>Tabla1[[#This Row],[Ejecutado
S/.]]/SUMIF(AB:AB,Tabla1[[#This Row],[Año Proy]],T:T)</f>
        <v>2.3085937500000001E-2</v>
      </c>
      <c r="Y17" s="7" t="str">
        <f>IF(Tabla1[[#This Row],[Aprobado
S/.]]&gt;0,"Aprobado","Pendiente")</f>
        <v>Aprobado</v>
      </c>
      <c r="Z17" s="107">
        <v>45231</v>
      </c>
      <c r="AA17" s="110">
        <f>Tabla1[[#This Row],[Fecha aprobación]]-DAY(Tabla1[[#This Row],[Fecha aprobación]])+1</f>
        <v>45231</v>
      </c>
      <c r="AB17" s="28">
        <v>2023</v>
      </c>
      <c r="AC17" s="28" t="s">
        <v>369</v>
      </c>
      <c r="AD17" s="78" t="s">
        <v>238</v>
      </c>
    </row>
    <row r="18" spans="1:30" x14ac:dyDescent="0.3">
      <c r="A18" s="15" t="s">
        <v>960</v>
      </c>
      <c r="B18" s="77" t="s">
        <v>351</v>
      </c>
      <c r="C18" s="4" t="s">
        <v>679</v>
      </c>
      <c r="D18" s="3"/>
      <c r="E18" s="15" t="s">
        <v>243</v>
      </c>
      <c r="F18" s="15" t="s">
        <v>16</v>
      </c>
      <c r="G18" s="15" t="s">
        <v>108</v>
      </c>
      <c r="H18" s="15" t="s">
        <v>139</v>
      </c>
      <c r="I18" s="15">
        <f t="shared" si="0"/>
        <v>4</v>
      </c>
      <c r="J18" s="15">
        <v>0</v>
      </c>
      <c r="K18" s="15" t="s">
        <v>373</v>
      </c>
      <c r="L18" s="15" t="s">
        <v>373</v>
      </c>
      <c r="M18" s="15" t="s">
        <v>314</v>
      </c>
      <c r="N18" s="15" t="s">
        <v>367</v>
      </c>
      <c r="O18" s="16" t="s">
        <v>115</v>
      </c>
      <c r="P18" s="16"/>
      <c r="Q18" s="16"/>
      <c r="R18" s="16"/>
      <c r="S18" s="16"/>
      <c r="T18" s="7">
        <v>12000</v>
      </c>
      <c r="U18" s="7">
        <f>SUMIF(Facturas!B:B,Tabla1[[#This Row],[ID]],Facturas!P:P)</f>
        <v>0</v>
      </c>
      <c r="V18" s="93">
        <f>Tabla1[[#This Row],[Aprobado
S/.]]/SUMIF(AB:AB,Tabla1[[#This Row],[Año Proy]],T:T)</f>
        <v>0</v>
      </c>
      <c r="W18" s="7">
        <f>SUMIFS(Facturas!P:P,Facturas!B:B,Tabla1[[#This Row],[ID]],Facturas!T:T,"Cancelado")</f>
        <v>0</v>
      </c>
      <c r="X18" s="93">
        <f>Tabla1[[#This Row],[Ejecutado
S/.]]/SUMIF(AB:AB,Tabla1[[#This Row],[Año Proy]],T:T)</f>
        <v>0</v>
      </c>
      <c r="Y18" s="7" t="str">
        <f>IF(Tabla1[[#This Row],[Aprobado
S/.]]&gt;0,"Aprobado","Pendiente")</f>
        <v>Pendiente</v>
      </c>
      <c r="Z18" s="110"/>
      <c r="AA18" s="110">
        <f>Tabla1[[#This Row],[Fecha aprobación]]-DAY(Tabla1[[#This Row],[Fecha aprobación]])+1</f>
        <v>1</v>
      </c>
      <c r="AB18" s="28">
        <v>2023</v>
      </c>
      <c r="AC18" s="28" t="s">
        <v>369</v>
      </c>
      <c r="AD18" s="78" t="s">
        <v>238</v>
      </c>
    </row>
    <row r="19" spans="1:30" x14ac:dyDescent="0.3">
      <c r="A19" s="15" t="s">
        <v>961</v>
      </c>
      <c r="B19" s="77" t="s">
        <v>352</v>
      </c>
      <c r="C19" s="4" t="s">
        <v>529</v>
      </c>
      <c r="D19" s="3"/>
      <c r="E19" s="15" t="s">
        <v>15</v>
      </c>
      <c r="F19" s="15" t="s">
        <v>15</v>
      </c>
      <c r="G19" s="15"/>
      <c r="H19" s="15" t="s">
        <v>139</v>
      </c>
      <c r="I19" s="15">
        <f t="shared" si="0"/>
        <v>4</v>
      </c>
      <c r="J19" s="15">
        <v>4</v>
      </c>
      <c r="K19" s="15" t="s">
        <v>113</v>
      </c>
      <c r="L19" s="15" t="s">
        <v>69</v>
      </c>
      <c r="M19" s="15" t="s">
        <v>316</v>
      </c>
      <c r="N19" s="15" t="s">
        <v>367</v>
      </c>
      <c r="O19" s="16" t="s">
        <v>115</v>
      </c>
      <c r="P19" s="16"/>
      <c r="Q19" s="16"/>
      <c r="R19" s="16"/>
      <c r="S19" s="16"/>
      <c r="T19" s="7">
        <v>28000</v>
      </c>
      <c r="U19" s="7">
        <f>SUMIF(Facturas!B:B,Tabla1[[#This Row],[ID]],Facturas!P:P)</f>
        <v>23000</v>
      </c>
      <c r="V19" s="93">
        <f>Tabla1[[#This Row],[Aprobado
S/.]]/SUMIF(AB:AB,Tabla1[[#This Row],[Año Proy]],T:T)</f>
        <v>8.984375E-2</v>
      </c>
      <c r="W19" s="7">
        <f>SUMIFS(Facturas!P:P,Facturas!B:B,Tabla1[[#This Row],[ID]],Facturas!T:T,"Cancelado")</f>
        <v>6900</v>
      </c>
      <c r="X19" s="93">
        <f>Tabla1[[#This Row],[Ejecutado
S/.]]/SUMIF(AB:AB,Tabla1[[#This Row],[Año Proy]],T:T)</f>
        <v>2.6953125000000001E-2</v>
      </c>
      <c r="Y19" s="7" t="str">
        <f>IF(Tabla1[[#This Row],[Aprobado
S/.]]&gt;0,"Aprobado","Pendiente")</f>
        <v>Aprobado</v>
      </c>
      <c r="Z19" s="107">
        <v>45261</v>
      </c>
      <c r="AA19" s="110">
        <f>Tabla1[[#This Row],[Fecha aprobación]]-DAY(Tabla1[[#This Row],[Fecha aprobación]])+1</f>
        <v>45261</v>
      </c>
      <c r="AB19" s="28">
        <v>2023</v>
      </c>
      <c r="AC19" s="28" t="s">
        <v>369</v>
      </c>
      <c r="AD19" s="78" t="s">
        <v>238</v>
      </c>
    </row>
    <row r="20" spans="1:30" x14ac:dyDescent="0.3">
      <c r="A20" s="15" t="s">
        <v>962</v>
      </c>
      <c r="B20" s="77" t="s">
        <v>353</v>
      </c>
      <c r="C20" s="4" t="s">
        <v>370</v>
      </c>
      <c r="D20" s="3"/>
      <c r="E20" s="15" t="s">
        <v>110</v>
      </c>
      <c r="F20" s="15" t="s">
        <v>36</v>
      </c>
      <c r="G20" s="15"/>
      <c r="H20" s="15" t="s">
        <v>140</v>
      </c>
      <c r="I20" s="15">
        <f t="shared" si="0"/>
        <v>1</v>
      </c>
      <c r="J20" s="15">
        <v>1</v>
      </c>
      <c r="K20" s="15" t="s">
        <v>178</v>
      </c>
      <c r="L20" s="15" t="s">
        <v>69</v>
      </c>
      <c r="M20" s="15" t="s">
        <v>314</v>
      </c>
      <c r="N20" s="15" t="s">
        <v>471</v>
      </c>
      <c r="O20" s="16"/>
      <c r="P20" s="16"/>
      <c r="Q20" s="16" t="s">
        <v>115</v>
      </c>
      <c r="R20" s="16"/>
      <c r="S20" s="16"/>
      <c r="T20" s="7">
        <v>5000</v>
      </c>
      <c r="U20" s="7">
        <f>SUMIF(Facturas!B:B,Tabla1[[#This Row],[ID]],Facturas!P:P)</f>
        <v>2075</v>
      </c>
      <c r="V20" s="93">
        <f>Tabla1[[#This Row],[Aprobado
S/.]]/SUMIF(AB:AB,Tabla1[[#This Row],[Año Proy]],T:T)</f>
        <v>8.1054687500000007E-3</v>
      </c>
      <c r="W20" s="7">
        <f>SUMIFS(Facturas!P:P,Facturas!B:B,Tabla1[[#This Row],[ID]],Facturas!T:T,"Cancelado")</f>
        <v>2075</v>
      </c>
      <c r="X20" s="93">
        <f>Tabla1[[#This Row],[Ejecutado
S/.]]/SUMIF(AB:AB,Tabla1[[#This Row],[Año Proy]],T:T)</f>
        <v>8.1054687500000007E-3</v>
      </c>
      <c r="Y20" s="7" t="str">
        <f>IF(Tabla1[[#This Row],[Aprobado
S/.]]&gt;0,"Aprobado","Pendiente")</f>
        <v>Aprobado</v>
      </c>
      <c r="Z20" s="110">
        <v>45040</v>
      </c>
      <c r="AA20" s="110">
        <f>Tabla1[[#This Row],[Fecha aprobación]]-DAY(Tabla1[[#This Row],[Fecha aprobación]])+1</f>
        <v>45017</v>
      </c>
      <c r="AB20" s="28">
        <v>2023</v>
      </c>
      <c r="AC20" s="28" t="s">
        <v>369</v>
      </c>
      <c r="AD20" s="78" t="s">
        <v>238</v>
      </c>
    </row>
    <row r="21" spans="1:30" x14ac:dyDescent="0.3">
      <c r="A21" s="15" t="s">
        <v>963</v>
      </c>
      <c r="B21" s="77" t="s">
        <v>354</v>
      </c>
      <c r="C21" s="4" t="s">
        <v>308</v>
      </c>
      <c r="D21" s="3"/>
      <c r="E21" s="15" t="s">
        <v>243</v>
      </c>
      <c r="F21" s="15" t="s">
        <v>19</v>
      </c>
      <c r="G21" s="15"/>
      <c r="H21" s="15" t="s">
        <v>140</v>
      </c>
      <c r="I21" s="15">
        <f t="shared" si="0"/>
        <v>1</v>
      </c>
      <c r="J21" s="15">
        <v>1</v>
      </c>
      <c r="K21" s="15" t="s">
        <v>372</v>
      </c>
      <c r="L21" s="15" t="s">
        <v>69</v>
      </c>
      <c r="M21" s="15" t="s">
        <v>314</v>
      </c>
      <c r="N21" s="15" t="s">
        <v>367</v>
      </c>
      <c r="O21" s="16" t="s">
        <v>115</v>
      </c>
      <c r="P21" s="16"/>
      <c r="Q21" s="16"/>
      <c r="R21" s="16"/>
      <c r="S21" s="16"/>
      <c r="T21" s="7">
        <v>5000</v>
      </c>
      <c r="U21" s="7">
        <f>SUMIF(Facturas!B:B,Tabla1[[#This Row],[ID]],Facturas!P:P)</f>
        <v>2420</v>
      </c>
      <c r="V21" s="93">
        <f>Tabla1[[#This Row],[Aprobado
S/.]]/SUMIF(AB:AB,Tabla1[[#This Row],[Año Proy]],T:T)</f>
        <v>9.4531249999999997E-3</v>
      </c>
      <c r="W21" s="7">
        <f>SUMIFS(Facturas!P:P,Facturas!B:B,Tabla1[[#This Row],[ID]],Facturas!T:T,"Cancelado")</f>
        <v>2420</v>
      </c>
      <c r="X21" s="93">
        <f>Tabla1[[#This Row],[Ejecutado
S/.]]/SUMIF(AB:AB,Tabla1[[#This Row],[Año Proy]],T:T)</f>
        <v>9.4531249999999997E-3</v>
      </c>
      <c r="Y21" s="7" t="str">
        <f>IF(Tabla1[[#This Row],[Aprobado
S/.]]&gt;0,"Aprobado","Pendiente")</f>
        <v>Aprobado</v>
      </c>
      <c r="Z21" s="110">
        <v>45001</v>
      </c>
      <c r="AA21" s="110">
        <f>Tabla1[[#This Row],[Fecha aprobación]]-DAY(Tabla1[[#This Row],[Fecha aprobación]])+1</f>
        <v>44986</v>
      </c>
      <c r="AB21" s="28">
        <v>2023</v>
      </c>
      <c r="AC21" s="28" t="s">
        <v>369</v>
      </c>
      <c r="AD21" s="78" t="s">
        <v>238</v>
      </c>
    </row>
    <row r="22" spans="1:30" x14ac:dyDescent="0.3">
      <c r="A22" s="15" t="s">
        <v>964</v>
      </c>
      <c r="B22" s="77" t="s">
        <v>355</v>
      </c>
      <c r="C22" s="4" t="s">
        <v>193</v>
      </c>
      <c r="D22" s="3"/>
      <c r="E22" s="15" t="s">
        <v>15</v>
      </c>
      <c r="F22" s="15" t="s">
        <v>15</v>
      </c>
      <c r="G22" s="15" t="s">
        <v>21</v>
      </c>
      <c r="H22" s="15" t="s">
        <v>140</v>
      </c>
      <c r="I22" s="15">
        <f t="shared" si="0"/>
        <v>1</v>
      </c>
      <c r="J22" s="15">
        <v>1</v>
      </c>
      <c r="K22" s="15" t="s">
        <v>113</v>
      </c>
      <c r="L22" s="15" t="s">
        <v>69</v>
      </c>
      <c r="M22" s="15" t="s">
        <v>314</v>
      </c>
      <c r="N22" s="15" t="s">
        <v>367</v>
      </c>
      <c r="O22" s="16"/>
      <c r="P22" s="16" t="s">
        <v>115</v>
      </c>
      <c r="Q22" s="16"/>
      <c r="R22" s="16"/>
      <c r="S22" s="16"/>
      <c r="T22" s="7">
        <v>7000</v>
      </c>
      <c r="U22" s="7">
        <f>SUMIF(Facturas!B:B,Tabla1[[#This Row],[ID]],Facturas!P:P)</f>
        <v>1780</v>
      </c>
      <c r="V22" s="93">
        <f>Tabla1[[#This Row],[Aprobado
S/.]]/SUMIF(AB:AB,Tabla1[[#This Row],[Año Proy]],T:T)</f>
        <v>6.9531250000000001E-3</v>
      </c>
      <c r="W22" s="7">
        <f>SUMIFS(Facturas!P:P,Facturas!B:B,Tabla1[[#This Row],[ID]],Facturas!T:T,"Cancelado")</f>
        <v>1780</v>
      </c>
      <c r="X22" s="93">
        <f>Tabla1[[#This Row],[Ejecutado
S/.]]/SUMIF(AB:AB,Tabla1[[#This Row],[Año Proy]],T:T)</f>
        <v>6.9531250000000001E-3</v>
      </c>
      <c r="Y22" s="7" t="str">
        <f>IF(Tabla1[[#This Row],[Aprobado
S/.]]&gt;0,"Aprobado","Pendiente")</f>
        <v>Aprobado</v>
      </c>
      <c r="Z22" s="110">
        <v>44927</v>
      </c>
      <c r="AA22" s="110">
        <f>Tabla1[[#This Row],[Fecha aprobación]]-DAY(Tabla1[[#This Row],[Fecha aprobación]])+1</f>
        <v>44927</v>
      </c>
      <c r="AB22" s="28">
        <v>2023</v>
      </c>
      <c r="AC22" s="28" t="s">
        <v>369</v>
      </c>
      <c r="AD22" s="78" t="s">
        <v>238</v>
      </c>
    </row>
    <row r="23" spans="1:30" x14ac:dyDescent="0.3">
      <c r="A23" s="15" t="s">
        <v>965</v>
      </c>
      <c r="B23" s="77" t="s">
        <v>689</v>
      </c>
      <c r="C23" s="67" t="s">
        <v>680</v>
      </c>
      <c r="D23" s="3"/>
      <c r="E23" s="15" t="s">
        <v>110</v>
      </c>
      <c r="F23" s="15"/>
      <c r="G23" s="15"/>
      <c r="H23" s="15" t="s">
        <v>138</v>
      </c>
      <c r="I23" s="15">
        <f t="shared" si="0"/>
        <v>2</v>
      </c>
      <c r="J23" s="15">
        <v>2</v>
      </c>
      <c r="K23" s="15" t="s">
        <v>371</v>
      </c>
      <c r="L23" s="15" t="s">
        <v>69</v>
      </c>
      <c r="M23" s="15" t="s">
        <v>68</v>
      </c>
      <c r="N23" s="15" t="s">
        <v>367</v>
      </c>
      <c r="O23" s="16" t="s">
        <v>115</v>
      </c>
      <c r="P23" s="16"/>
      <c r="Q23" s="16"/>
      <c r="R23" s="16"/>
      <c r="S23" s="16"/>
      <c r="T23" s="125">
        <v>15000</v>
      </c>
      <c r="U23" s="7">
        <f>SUMIF(Facturas!B:B,Tabla1[[#This Row],[ID]],Facturas!P:P)</f>
        <v>0</v>
      </c>
      <c r="V23" s="93">
        <f>Tabla1[[#This Row],[Aprobado
S/.]]/SUMIF(AB:AB,Tabla1[[#This Row],[Año Proy]],T:T)</f>
        <v>0</v>
      </c>
      <c r="W23" s="7">
        <f>SUMIFS(Facturas!P:P,Facturas!B:B,Tabla1[[#This Row],[ID]],Facturas!T:T,"Cancelado")</f>
        <v>0</v>
      </c>
      <c r="X23" s="93">
        <f>Tabla1[[#This Row],[Ejecutado
S/.]]/SUMIF(AB:AB,Tabla1[[#This Row],[Año Proy]],T:T)</f>
        <v>0</v>
      </c>
      <c r="Y23" s="7" t="str">
        <f>IF(Tabla1[[#This Row],[Aprobado
S/.]]&gt;0,"Aprobado","Pendiente")</f>
        <v>Pendiente</v>
      </c>
      <c r="Z23" s="110"/>
      <c r="AA23" s="110">
        <f>Tabla1[[#This Row],[Fecha aprobación]]-DAY(Tabla1[[#This Row],[Fecha aprobación]])+1</f>
        <v>1</v>
      </c>
      <c r="AB23" s="28">
        <v>2024</v>
      </c>
      <c r="AC23" s="28" t="s">
        <v>369</v>
      </c>
      <c r="AD23" s="78" t="s">
        <v>238</v>
      </c>
    </row>
    <row r="24" spans="1:30" x14ac:dyDescent="0.3">
      <c r="A24" s="15" t="s">
        <v>966</v>
      </c>
      <c r="B24" s="77" t="s">
        <v>690</v>
      </c>
      <c r="C24" s="196" t="s">
        <v>681</v>
      </c>
      <c r="D24" s="3"/>
      <c r="E24" s="15" t="s">
        <v>110</v>
      </c>
      <c r="F24" s="15"/>
      <c r="G24" s="15"/>
      <c r="H24" s="15" t="s">
        <v>138</v>
      </c>
      <c r="I24" s="15">
        <f t="shared" si="0"/>
        <v>2</v>
      </c>
      <c r="J24" s="15">
        <v>2</v>
      </c>
      <c r="K24" s="15"/>
      <c r="L24" s="15" t="s">
        <v>69</v>
      </c>
      <c r="M24" s="15" t="s">
        <v>68</v>
      </c>
      <c r="N24" s="15" t="s">
        <v>367</v>
      </c>
      <c r="O24" s="16" t="s">
        <v>115</v>
      </c>
      <c r="P24" s="16"/>
      <c r="Q24" s="16"/>
      <c r="R24" s="16"/>
      <c r="S24" s="16"/>
      <c r="T24" s="125">
        <v>20000</v>
      </c>
      <c r="U24" s="7">
        <f>SUMIF(Facturas!B:B,Tabla1[[#This Row],[ID]],Facturas!P:P)</f>
        <v>0</v>
      </c>
      <c r="V24" s="93">
        <f>Tabla1[[#This Row],[Aprobado
S/.]]/SUMIF(AB:AB,Tabla1[[#This Row],[Año Proy]],T:T)</f>
        <v>0</v>
      </c>
      <c r="W24" s="7">
        <f>SUMIFS(Facturas!P:P,Facturas!B:B,Tabla1[[#This Row],[ID]],Facturas!T:T,"Cancelado")</f>
        <v>0</v>
      </c>
      <c r="X24" s="93">
        <f>Tabla1[[#This Row],[Ejecutado
S/.]]/SUMIF(AB:AB,Tabla1[[#This Row],[Año Proy]],T:T)</f>
        <v>0</v>
      </c>
      <c r="Y24" s="7" t="str">
        <f>IF(Tabla1[[#This Row],[Aprobado
S/.]]&gt;0,"Aprobado","Pendiente")</f>
        <v>Pendiente</v>
      </c>
      <c r="Z24" s="110"/>
      <c r="AA24" s="110">
        <f>Tabla1[[#This Row],[Fecha aprobación]]-DAY(Tabla1[[#This Row],[Fecha aprobación]])+1</f>
        <v>1</v>
      </c>
      <c r="AB24" s="28">
        <v>2024</v>
      </c>
      <c r="AC24" s="28" t="s">
        <v>369</v>
      </c>
      <c r="AD24" s="78" t="s">
        <v>238</v>
      </c>
    </row>
    <row r="25" spans="1:30" x14ac:dyDescent="0.3">
      <c r="A25" s="15" t="s">
        <v>967</v>
      </c>
      <c r="B25" s="77" t="s">
        <v>691</v>
      </c>
      <c r="C25" s="196" t="s">
        <v>682</v>
      </c>
      <c r="D25" s="3"/>
      <c r="E25" s="15" t="s">
        <v>110</v>
      </c>
      <c r="F25" s="15"/>
      <c r="G25" s="15"/>
      <c r="H25" s="15" t="s">
        <v>138</v>
      </c>
      <c r="I25" s="15">
        <f t="shared" si="0"/>
        <v>2</v>
      </c>
      <c r="J25" s="15">
        <v>2</v>
      </c>
      <c r="K25" s="15" t="s">
        <v>371</v>
      </c>
      <c r="L25" s="15" t="s">
        <v>69</v>
      </c>
      <c r="M25" s="15" t="s">
        <v>68</v>
      </c>
      <c r="N25" s="15" t="s">
        <v>471</v>
      </c>
      <c r="O25" s="16"/>
      <c r="P25" s="16"/>
      <c r="Q25" s="16" t="s">
        <v>115</v>
      </c>
      <c r="R25" s="16"/>
      <c r="S25" s="16"/>
      <c r="T25" s="125">
        <v>25000</v>
      </c>
      <c r="U25" s="7">
        <f>SUMIF(Facturas!B:B,Tabla1[[#This Row],[ID]],Facturas!P:P)</f>
        <v>0</v>
      </c>
      <c r="V25" s="93">
        <f>Tabla1[[#This Row],[Aprobado
S/.]]/SUMIF(AB:AB,Tabla1[[#This Row],[Año Proy]],T:T)</f>
        <v>0</v>
      </c>
      <c r="W25" s="7">
        <f>SUMIFS(Facturas!P:P,Facturas!B:B,Tabla1[[#This Row],[ID]],Facturas!T:T,"Cancelado")</f>
        <v>0</v>
      </c>
      <c r="X25" s="93">
        <f>Tabla1[[#This Row],[Ejecutado
S/.]]/SUMIF(AB:AB,Tabla1[[#This Row],[Año Proy]],T:T)</f>
        <v>0</v>
      </c>
      <c r="Y25" s="7" t="str">
        <f>IF(Tabla1[[#This Row],[Aprobado
S/.]]&gt;0,"Aprobado","Pendiente")</f>
        <v>Pendiente</v>
      </c>
      <c r="Z25" s="110"/>
      <c r="AA25" s="110">
        <f>Tabla1[[#This Row],[Fecha aprobación]]-DAY(Tabla1[[#This Row],[Fecha aprobación]])+1</f>
        <v>1</v>
      </c>
      <c r="AB25" s="28">
        <v>2024</v>
      </c>
      <c r="AC25" s="28" t="s">
        <v>369</v>
      </c>
      <c r="AD25" s="78" t="s">
        <v>238</v>
      </c>
    </row>
    <row r="26" spans="1:30" x14ac:dyDescent="0.3">
      <c r="A26" s="15" t="s">
        <v>968</v>
      </c>
      <c r="B26" s="77" t="s">
        <v>692</v>
      </c>
      <c r="C26" s="67" t="s">
        <v>683</v>
      </c>
      <c r="D26" s="3"/>
      <c r="E26" s="15" t="s">
        <v>110</v>
      </c>
      <c r="F26" s="15"/>
      <c r="G26" s="15"/>
      <c r="H26" s="15" t="s">
        <v>138</v>
      </c>
      <c r="I26" s="15">
        <f t="shared" si="0"/>
        <v>2</v>
      </c>
      <c r="J26" s="15">
        <v>2</v>
      </c>
      <c r="K26" s="15" t="s">
        <v>371</v>
      </c>
      <c r="L26" s="15" t="s">
        <v>69</v>
      </c>
      <c r="M26" s="15" t="s">
        <v>68</v>
      </c>
      <c r="N26" s="15" t="s">
        <v>471</v>
      </c>
      <c r="O26" s="16"/>
      <c r="P26" s="16"/>
      <c r="Q26" s="16" t="s">
        <v>115</v>
      </c>
      <c r="R26" s="16"/>
      <c r="S26" s="16"/>
      <c r="T26" s="125">
        <v>20000</v>
      </c>
      <c r="U26" s="7">
        <f>SUMIF(Facturas!B:B,Tabla1[[#This Row],[ID]],Facturas!P:P)</f>
        <v>0</v>
      </c>
      <c r="V26" s="93">
        <f>Tabla1[[#This Row],[Aprobado
S/.]]/SUMIF(AB:AB,Tabla1[[#This Row],[Año Proy]],T:T)</f>
        <v>0</v>
      </c>
      <c r="W26" s="7">
        <f>SUMIFS(Facturas!P:P,Facturas!B:B,Tabla1[[#This Row],[ID]],Facturas!T:T,"Cancelado")</f>
        <v>0</v>
      </c>
      <c r="X26" s="93">
        <f>Tabla1[[#This Row],[Ejecutado
S/.]]/SUMIF(AB:AB,Tabla1[[#This Row],[Año Proy]],T:T)</f>
        <v>0</v>
      </c>
      <c r="Y26" s="7" t="str">
        <f>IF(Tabla1[[#This Row],[Aprobado
S/.]]&gt;0,"Aprobado","Pendiente")</f>
        <v>Pendiente</v>
      </c>
      <c r="Z26" s="110"/>
      <c r="AA26" s="110">
        <f>Tabla1[[#This Row],[Fecha aprobación]]-DAY(Tabla1[[#This Row],[Fecha aprobación]])+1</f>
        <v>1</v>
      </c>
      <c r="AB26" s="28">
        <v>2024</v>
      </c>
      <c r="AC26" s="28" t="s">
        <v>369</v>
      </c>
      <c r="AD26" s="78" t="s">
        <v>238</v>
      </c>
    </row>
    <row r="27" spans="1:30" x14ac:dyDescent="0.3">
      <c r="A27" s="15" t="s">
        <v>969</v>
      </c>
      <c r="B27" s="77" t="s">
        <v>693</v>
      </c>
      <c r="C27" s="67" t="s">
        <v>684</v>
      </c>
      <c r="D27" s="3"/>
      <c r="E27" s="15" t="s">
        <v>110</v>
      </c>
      <c r="F27" s="15"/>
      <c r="G27" s="15"/>
      <c r="H27" s="15" t="s">
        <v>138</v>
      </c>
      <c r="I27" s="15">
        <f t="shared" si="0"/>
        <v>2</v>
      </c>
      <c r="J27" s="15">
        <v>2</v>
      </c>
      <c r="K27" s="15" t="s">
        <v>371</v>
      </c>
      <c r="L27" s="15" t="s">
        <v>69</v>
      </c>
      <c r="M27" s="15" t="s">
        <v>68</v>
      </c>
      <c r="N27" s="15" t="s">
        <v>471</v>
      </c>
      <c r="O27" s="16"/>
      <c r="P27" s="16"/>
      <c r="Q27" s="16" t="s">
        <v>115</v>
      </c>
      <c r="R27" s="16"/>
      <c r="S27" s="16"/>
      <c r="T27" s="125">
        <v>30000</v>
      </c>
      <c r="U27" s="7">
        <f>SUMIF(Facturas!B:B,Tabla1[[#This Row],[ID]],Facturas!P:P)</f>
        <v>0</v>
      </c>
      <c r="V27" s="93">
        <f>Tabla1[[#This Row],[Aprobado
S/.]]/SUMIF(AB:AB,Tabla1[[#This Row],[Año Proy]],T:T)</f>
        <v>0</v>
      </c>
      <c r="W27" s="7">
        <f>SUMIFS(Facturas!P:P,Facturas!B:B,Tabla1[[#This Row],[ID]],Facturas!T:T,"Cancelado")</f>
        <v>0</v>
      </c>
      <c r="X27" s="93">
        <f>Tabla1[[#This Row],[Ejecutado
S/.]]/SUMIF(AB:AB,Tabla1[[#This Row],[Año Proy]],T:T)</f>
        <v>0</v>
      </c>
      <c r="Y27" s="7" t="str">
        <f>IF(Tabla1[[#This Row],[Aprobado
S/.]]&gt;0,"Aprobado","Pendiente")</f>
        <v>Pendiente</v>
      </c>
      <c r="Z27" s="110"/>
      <c r="AA27" s="110">
        <f>Tabla1[[#This Row],[Fecha aprobación]]-DAY(Tabla1[[#This Row],[Fecha aprobación]])+1</f>
        <v>1</v>
      </c>
      <c r="AB27" s="28">
        <v>2024</v>
      </c>
      <c r="AC27" s="28" t="s">
        <v>369</v>
      </c>
      <c r="AD27" s="78" t="s">
        <v>238</v>
      </c>
    </row>
    <row r="28" spans="1:30" x14ac:dyDescent="0.3">
      <c r="A28" s="15" t="s">
        <v>970</v>
      </c>
      <c r="B28" s="77" t="s">
        <v>694</v>
      </c>
      <c r="C28" s="184" t="s">
        <v>685</v>
      </c>
      <c r="D28" s="3"/>
      <c r="E28" s="15" t="s">
        <v>15</v>
      </c>
      <c r="F28" s="15"/>
      <c r="G28" s="15"/>
      <c r="H28" s="15" t="s">
        <v>514</v>
      </c>
      <c r="I28" s="15">
        <f t="shared" si="0"/>
        <v>6</v>
      </c>
      <c r="J28" s="15">
        <v>6</v>
      </c>
      <c r="K28" s="15"/>
      <c r="L28" s="15" t="s">
        <v>69</v>
      </c>
      <c r="M28" s="15" t="s">
        <v>68</v>
      </c>
      <c r="N28" s="15" t="s">
        <v>367</v>
      </c>
      <c r="O28" s="16" t="s">
        <v>115</v>
      </c>
      <c r="P28" s="16" t="s">
        <v>115</v>
      </c>
      <c r="Q28" s="16" t="s">
        <v>115</v>
      </c>
      <c r="R28" s="16" t="s">
        <v>115</v>
      </c>
      <c r="S28" s="16" t="s">
        <v>115</v>
      </c>
      <c r="T28" s="125">
        <v>35000</v>
      </c>
      <c r="U28" s="7">
        <f>SUMIF(Facturas!B:B,Tabla1[[#This Row],[ID]],Facturas!P:P)</f>
        <v>0</v>
      </c>
      <c r="V28" s="93">
        <f>Tabla1[[#This Row],[Aprobado
S/.]]/SUMIF(AB:AB,Tabla1[[#This Row],[Año Proy]],T:T)</f>
        <v>0</v>
      </c>
      <c r="W28" s="7">
        <f>SUMIFS(Facturas!P:P,Facturas!B:B,Tabla1[[#This Row],[ID]],Facturas!T:T,"Cancelado")</f>
        <v>0</v>
      </c>
      <c r="X28" s="93">
        <f>Tabla1[[#This Row],[Ejecutado
S/.]]/SUMIF(AB:AB,Tabla1[[#This Row],[Año Proy]],T:T)</f>
        <v>0</v>
      </c>
      <c r="Y28" s="7" t="str">
        <f>IF(Tabla1[[#This Row],[Aprobado
S/.]]&gt;0,"Aprobado","Pendiente")</f>
        <v>Pendiente</v>
      </c>
      <c r="Z28" s="110"/>
      <c r="AA28" s="110">
        <f>Tabla1[[#This Row],[Fecha aprobación]]-DAY(Tabla1[[#This Row],[Fecha aprobación]])+1</f>
        <v>1</v>
      </c>
      <c r="AB28" s="28">
        <v>2024</v>
      </c>
      <c r="AC28" s="28" t="s">
        <v>369</v>
      </c>
      <c r="AD28" s="78" t="s">
        <v>238</v>
      </c>
    </row>
    <row r="29" spans="1:30" x14ac:dyDescent="0.3">
      <c r="A29" s="15" t="s">
        <v>971</v>
      </c>
      <c r="B29" s="77" t="s">
        <v>695</v>
      </c>
      <c r="C29" s="184" t="s">
        <v>686</v>
      </c>
      <c r="D29" s="3"/>
      <c r="E29" s="15" t="s">
        <v>21</v>
      </c>
      <c r="F29" s="15"/>
      <c r="G29" s="15"/>
      <c r="H29" s="15" t="s">
        <v>514</v>
      </c>
      <c r="I29" s="15">
        <f t="shared" si="0"/>
        <v>6</v>
      </c>
      <c r="J29" s="15">
        <v>6</v>
      </c>
      <c r="K29" s="15" t="s">
        <v>512</v>
      </c>
      <c r="L29" s="15" t="s">
        <v>69</v>
      </c>
      <c r="M29" s="15" t="s">
        <v>68</v>
      </c>
      <c r="N29" s="15" t="s">
        <v>367</v>
      </c>
      <c r="O29" s="16" t="s">
        <v>115</v>
      </c>
      <c r="P29" s="16"/>
      <c r="Q29" s="16"/>
      <c r="R29" s="16"/>
      <c r="S29" s="16" t="s">
        <v>115</v>
      </c>
      <c r="T29" s="125">
        <v>25000</v>
      </c>
      <c r="U29" s="7">
        <f>SUMIF(Facturas!B:B,Tabla1[[#This Row],[ID]],Facturas!P:P)</f>
        <v>0</v>
      </c>
      <c r="V29" s="93">
        <f>Tabla1[[#This Row],[Aprobado
S/.]]/SUMIF(AB:AB,Tabla1[[#This Row],[Año Proy]],T:T)</f>
        <v>0</v>
      </c>
      <c r="W29" s="7">
        <f>SUMIFS(Facturas!P:P,Facturas!B:B,Tabla1[[#This Row],[ID]],Facturas!T:T,"Cancelado")</f>
        <v>0</v>
      </c>
      <c r="X29" s="93">
        <f>Tabla1[[#This Row],[Ejecutado
S/.]]/SUMIF(AB:AB,Tabla1[[#This Row],[Año Proy]],T:T)</f>
        <v>0</v>
      </c>
      <c r="Y29" s="7" t="str">
        <f>IF(Tabla1[[#This Row],[Aprobado
S/.]]&gt;0,"Aprobado","Pendiente")</f>
        <v>Pendiente</v>
      </c>
      <c r="Z29" s="110"/>
      <c r="AA29" s="110">
        <f>Tabla1[[#This Row],[Fecha aprobación]]-DAY(Tabla1[[#This Row],[Fecha aprobación]])+1</f>
        <v>1</v>
      </c>
      <c r="AB29" s="28">
        <v>2024</v>
      </c>
      <c r="AC29" s="28" t="s">
        <v>369</v>
      </c>
      <c r="AD29" s="78" t="s">
        <v>238</v>
      </c>
    </row>
    <row r="30" spans="1:30" x14ac:dyDescent="0.3">
      <c r="A30" s="15" t="s">
        <v>972</v>
      </c>
      <c r="B30" s="77" t="s">
        <v>696</v>
      </c>
      <c r="C30" s="184" t="s">
        <v>92</v>
      </c>
      <c r="D30" s="3"/>
      <c r="E30" s="15" t="s">
        <v>243</v>
      </c>
      <c r="F30" s="15"/>
      <c r="G30" s="15"/>
      <c r="H30" s="15" t="s">
        <v>139</v>
      </c>
      <c r="I30" s="15">
        <f t="shared" si="0"/>
        <v>4</v>
      </c>
      <c r="J30" s="15">
        <v>4</v>
      </c>
      <c r="K30" s="15" t="s">
        <v>700</v>
      </c>
      <c r="L30" s="15" t="s">
        <v>69</v>
      </c>
      <c r="M30" s="15" t="s">
        <v>68</v>
      </c>
      <c r="N30" s="15" t="s">
        <v>367</v>
      </c>
      <c r="O30" s="16"/>
      <c r="P30" s="16"/>
      <c r="Q30" s="16"/>
      <c r="R30" s="16"/>
      <c r="S30" s="16" t="s">
        <v>115</v>
      </c>
      <c r="T30" s="125">
        <v>20000</v>
      </c>
      <c r="U30" s="7">
        <f>SUMIF(Facturas!B:B,Tabla1[[#This Row],[ID]],Facturas!P:P)</f>
        <v>0</v>
      </c>
      <c r="V30" s="93">
        <f>Tabla1[[#This Row],[Aprobado
S/.]]/SUMIF(AB:AB,Tabla1[[#This Row],[Año Proy]],T:T)</f>
        <v>0</v>
      </c>
      <c r="W30" s="7">
        <f>SUMIFS(Facturas!P:P,Facturas!B:B,Tabla1[[#This Row],[ID]],Facturas!T:T,"Cancelado")</f>
        <v>0</v>
      </c>
      <c r="X30" s="93">
        <f>Tabla1[[#This Row],[Ejecutado
S/.]]/SUMIF(AB:AB,Tabla1[[#This Row],[Año Proy]],T:T)</f>
        <v>0</v>
      </c>
      <c r="Y30" s="7" t="str">
        <f>IF(Tabla1[[#This Row],[Aprobado
S/.]]&gt;0,"Aprobado","Pendiente")</f>
        <v>Pendiente</v>
      </c>
      <c r="Z30" s="110"/>
      <c r="AA30" s="110">
        <f>Tabla1[[#This Row],[Fecha aprobación]]-DAY(Tabla1[[#This Row],[Fecha aprobación]])+1</f>
        <v>1</v>
      </c>
      <c r="AB30" s="28">
        <v>2024</v>
      </c>
      <c r="AC30" s="28" t="s">
        <v>369</v>
      </c>
      <c r="AD30" s="78" t="s">
        <v>238</v>
      </c>
    </row>
    <row r="31" spans="1:30" x14ac:dyDescent="0.3">
      <c r="A31" s="15" t="s">
        <v>973</v>
      </c>
      <c r="B31" s="77" t="s">
        <v>697</v>
      </c>
      <c r="C31" s="184" t="s">
        <v>687</v>
      </c>
      <c r="D31" s="3"/>
      <c r="E31" s="15" t="s">
        <v>364</v>
      </c>
      <c r="F31" s="15"/>
      <c r="G31" s="15"/>
      <c r="H31" s="15" t="s">
        <v>138</v>
      </c>
      <c r="I31" s="15">
        <f t="shared" si="0"/>
        <v>2</v>
      </c>
      <c r="J31" s="15">
        <v>2</v>
      </c>
      <c r="K31" s="15"/>
      <c r="L31" s="15" t="s">
        <v>69</v>
      </c>
      <c r="M31" s="15" t="s">
        <v>68</v>
      </c>
      <c r="N31" s="15" t="s">
        <v>701</v>
      </c>
      <c r="O31" s="16"/>
      <c r="P31" s="16"/>
      <c r="Q31" s="16"/>
      <c r="R31" s="16" t="s">
        <v>115</v>
      </c>
      <c r="S31" s="16"/>
      <c r="T31" s="125">
        <v>15000</v>
      </c>
      <c r="U31" s="7">
        <f>SUMIF(Facturas!B:B,Tabla1[[#This Row],[ID]],Facturas!P:P)</f>
        <v>0</v>
      </c>
      <c r="V31" s="93">
        <f>Tabla1[[#This Row],[Aprobado
S/.]]/SUMIF(AB:AB,Tabla1[[#This Row],[Año Proy]],T:T)</f>
        <v>0</v>
      </c>
      <c r="W31" s="7">
        <f>SUMIFS(Facturas!P:P,Facturas!B:B,Tabla1[[#This Row],[ID]],Facturas!T:T,"Cancelado")</f>
        <v>0</v>
      </c>
      <c r="X31" s="93">
        <f>Tabla1[[#This Row],[Ejecutado
S/.]]/SUMIF(AB:AB,Tabla1[[#This Row],[Año Proy]],T:T)</f>
        <v>0</v>
      </c>
      <c r="Y31" s="7" t="str">
        <f>IF(Tabla1[[#This Row],[Aprobado
S/.]]&gt;0,"Aprobado","Pendiente")</f>
        <v>Pendiente</v>
      </c>
      <c r="Z31" s="110"/>
      <c r="AA31" s="110">
        <f>Tabla1[[#This Row],[Fecha aprobación]]-DAY(Tabla1[[#This Row],[Fecha aprobación]])+1</f>
        <v>1</v>
      </c>
      <c r="AB31" s="28">
        <v>2024</v>
      </c>
      <c r="AC31" s="28" t="s">
        <v>369</v>
      </c>
      <c r="AD31" s="78" t="s">
        <v>238</v>
      </c>
    </row>
    <row r="32" spans="1:30" x14ac:dyDescent="0.3">
      <c r="A32" s="15" t="s">
        <v>974</v>
      </c>
      <c r="B32" s="77" t="s">
        <v>698</v>
      </c>
      <c r="C32" s="184" t="s">
        <v>768</v>
      </c>
      <c r="D32" s="3"/>
      <c r="E32" s="15" t="s">
        <v>364</v>
      </c>
      <c r="F32" s="15"/>
      <c r="G32" s="15"/>
      <c r="H32" s="15" t="s">
        <v>139</v>
      </c>
      <c r="I32" s="15">
        <f t="shared" si="0"/>
        <v>4</v>
      </c>
      <c r="J32" s="15">
        <v>4</v>
      </c>
      <c r="K32" s="15"/>
      <c r="L32" s="15" t="s">
        <v>69</v>
      </c>
      <c r="M32" s="15" t="s">
        <v>68</v>
      </c>
      <c r="N32" s="15" t="s">
        <v>367</v>
      </c>
      <c r="O32" s="16" t="s">
        <v>115</v>
      </c>
      <c r="P32" s="16"/>
      <c r="Q32" s="16"/>
      <c r="R32" s="16"/>
      <c r="S32" s="16" t="s">
        <v>115</v>
      </c>
      <c r="T32" s="125">
        <v>15000</v>
      </c>
      <c r="U32" s="7">
        <f>SUMIF(Facturas!B:B,Tabla1[[#This Row],[ID]],Facturas!P:P)</f>
        <v>0</v>
      </c>
      <c r="V32" s="93">
        <f>Tabla1[[#This Row],[Aprobado
S/.]]/SUMIF(AB:AB,Tabla1[[#This Row],[Año Proy]],T:T)</f>
        <v>0</v>
      </c>
      <c r="W32" s="7">
        <f>SUMIFS(Facturas!P:P,Facturas!B:B,Tabla1[[#This Row],[ID]],Facturas!T:T,"Cancelado")</f>
        <v>0</v>
      </c>
      <c r="X32" s="93">
        <f>Tabla1[[#This Row],[Ejecutado
S/.]]/SUMIF(AB:AB,Tabla1[[#This Row],[Año Proy]],T:T)</f>
        <v>0</v>
      </c>
      <c r="Y32" s="7" t="str">
        <f>IF(Tabla1[[#This Row],[Aprobado
S/.]]&gt;0,"Aprobado","Pendiente")</f>
        <v>Pendiente</v>
      </c>
      <c r="Z32" s="110"/>
      <c r="AA32" s="110">
        <f>Tabla1[[#This Row],[Fecha aprobación]]-DAY(Tabla1[[#This Row],[Fecha aprobación]])+1</f>
        <v>1</v>
      </c>
      <c r="AB32" s="28">
        <v>2024</v>
      </c>
      <c r="AC32" s="28" t="s">
        <v>369</v>
      </c>
      <c r="AD32" s="78" t="s">
        <v>238</v>
      </c>
    </row>
    <row r="33" spans="1:30" x14ac:dyDescent="0.3">
      <c r="A33" s="15" t="s">
        <v>975</v>
      </c>
      <c r="B33" s="77" t="s">
        <v>699</v>
      </c>
      <c r="C33" s="184" t="s">
        <v>688</v>
      </c>
      <c r="D33" s="3"/>
      <c r="E33" s="15" t="s">
        <v>364</v>
      </c>
      <c r="F33" s="15"/>
      <c r="G33" s="15"/>
      <c r="H33" s="15" t="s">
        <v>139</v>
      </c>
      <c r="I33" s="15">
        <f t="shared" si="0"/>
        <v>4</v>
      </c>
      <c r="J33" s="15">
        <v>2</v>
      </c>
      <c r="K33" s="15" t="s">
        <v>373</v>
      </c>
      <c r="L33" s="15" t="s">
        <v>69</v>
      </c>
      <c r="M33" s="15" t="s">
        <v>68</v>
      </c>
      <c r="N33" s="15" t="s">
        <v>530</v>
      </c>
      <c r="O33" s="16"/>
      <c r="P33" s="16"/>
      <c r="Q33" s="16"/>
      <c r="R33" s="16"/>
      <c r="S33" s="16" t="s">
        <v>115</v>
      </c>
      <c r="T33" s="125">
        <v>20000</v>
      </c>
      <c r="U33" s="7">
        <f>SUMIF(Facturas!B:B,Tabla1[[#This Row],[ID]],Facturas!P:P)</f>
        <v>0</v>
      </c>
      <c r="V33" s="93">
        <f>Tabla1[[#This Row],[Aprobado
S/.]]/SUMIF(AB:AB,Tabla1[[#This Row],[Año Proy]],T:T)</f>
        <v>0</v>
      </c>
      <c r="W33" s="7">
        <f>SUMIFS(Facturas!P:P,Facturas!B:B,Tabla1[[#This Row],[ID]],Facturas!T:T,"Cancelado")</f>
        <v>0</v>
      </c>
      <c r="X33" s="93">
        <f>Tabla1[[#This Row],[Ejecutado
S/.]]/SUMIF(AB:AB,Tabla1[[#This Row],[Año Proy]],T:T)</f>
        <v>0</v>
      </c>
      <c r="Y33" s="7" t="str">
        <f>IF(Tabla1[[#This Row],[Aprobado
S/.]]&gt;0,"Aprobado","Pendiente")</f>
        <v>Pendiente</v>
      </c>
      <c r="Z33" s="110"/>
      <c r="AA33" s="110">
        <f>Tabla1[[#This Row],[Fecha aprobación]]-DAY(Tabla1[[#This Row],[Fecha aprobación]])+1</f>
        <v>1</v>
      </c>
      <c r="AB33" s="28">
        <v>2024</v>
      </c>
      <c r="AC33" s="28" t="s">
        <v>369</v>
      </c>
      <c r="AD33" s="78" t="s">
        <v>238</v>
      </c>
    </row>
    <row r="34" spans="1:30" x14ac:dyDescent="0.3">
      <c r="A34" s="15" t="s">
        <v>976</v>
      </c>
      <c r="B34" s="77" t="s">
        <v>804</v>
      </c>
      <c r="C34" s="67" t="s">
        <v>769</v>
      </c>
      <c r="D34" s="3"/>
      <c r="E34" s="15" t="s">
        <v>15</v>
      </c>
      <c r="F34" s="15"/>
      <c r="G34" s="15"/>
      <c r="H34" s="15" t="s">
        <v>138</v>
      </c>
      <c r="I34" s="15">
        <f t="shared" si="0"/>
        <v>2</v>
      </c>
      <c r="J34" s="15">
        <v>2</v>
      </c>
      <c r="K34" s="15" t="s">
        <v>113</v>
      </c>
      <c r="L34" s="15" t="s">
        <v>69</v>
      </c>
      <c r="M34" s="15" t="s">
        <v>316</v>
      </c>
      <c r="N34" s="15" t="s">
        <v>367</v>
      </c>
      <c r="O34" s="16"/>
      <c r="P34" s="16"/>
      <c r="Q34" s="16"/>
      <c r="R34" s="16"/>
      <c r="S34" s="16"/>
      <c r="T34" s="7">
        <v>10000</v>
      </c>
      <c r="U34" s="7">
        <f>SUMIF(Facturas!B:B,Tabla1[[#This Row],[ID]],Facturas!P:P)</f>
        <v>7640</v>
      </c>
      <c r="V34" s="93">
        <f>Tabla1[[#This Row],[Aprobado
S/.]]/SUMIF(AB:AB,Tabla1[[#This Row],[Año Proy]],T:T)</f>
        <v>3.0095328133616955E-2</v>
      </c>
      <c r="W34" s="7">
        <f>SUMIFS(Facturas!P:P,Facturas!B:B,Tabla1[[#This Row],[ID]],Facturas!T:T,"Cancelado")</f>
        <v>0</v>
      </c>
      <c r="X34" s="93">
        <f>Tabla1[[#This Row],[Ejecutado
S/.]]/SUMIF(AB:AB,Tabla1[[#This Row],[Año Proy]],T:T)</f>
        <v>0</v>
      </c>
      <c r="Y34" s="7" t="str">
        <f>IF(Tabla1[[#This Row],[Aprobado
S/.]]&gt;0,"Aprobado","Pendiente")</f>
        <v>Aprobado</v>
      </c>
      <c r="Z34" s="110">
        <v>45444</v>
      </c>
      <c r="AA34" s="110">
        <f>Tabla1[[#This Row],[Fecha aprobación]]-DAY(Tabla1[[#This Row],[Fecha aprobación]])+1</f>
        <v>45444</v>
      </c>
      <c r="AB34" s="28">
        <v>2024</v>
      </c>
      <c r="AC34" s="28" t="s">
        <v>369</v>
      </c>
      <c r="AD34" s="78" t="s">
        <v>238</v>
      </c>
    </row>
    <row r="35" spans="1:30" x14ac:dyDescent="0.3">
      <c r="A35" s="15" t="s">
        <v>977</v>
      </c>
      <c r="B35" s="77" t="s">
        <v>805</v>
      </c>
      <c r="C35" s="67" t="s">
        <v>800</v>
      </c>
      <c r="D35" s="3"/>
      <c r="E35" s="15" t="s">
        <v>243</v>
      </c>
      <c r="F35" s="15"/>
      <c r="G35" s="15"/>
      <c r="H35" s="15"/>
      <c r="I35" s="15">
        <f t="shared" si="0"/>
        <v>0</v>
      </c>
      <c r="J35" s="15"/>
      <c r="K35" s="15"/>
      <c r="L35" s="15" t="s">
        <v>69</v>
      </c>
      <c r="M35" s="15" t="s">
        <v>68</v>
      </c>
      <c r="N35" s="15"/>
      <c r="O35" s="16"/>
      <c r="P35" s="16"/>
      <c r="Q35" s="16"/>
      <c r="R35" s="16"/>
      <c r="S35" s="16"/>
      <c r="T35" s="27"/>
      <c r="U35" s="27">
        <f>SUMIF(Facturas!B:B,Tabla1[[#This Row],[ID]],Facturas!P:P)</f>
        <v>0</v>
      </c>
      <c r="V35" s="93">
        <f>Tabla1[[#This Row],[Aprobado
S/.]]/SUMIF(AB:AB,Tabla1[[#This Row],[Año Proy]],T:T)</f>
        <v>0</v>
      </c>
      <c r="W35" s="7">
        <f>SUMIFS(Facturas!P:P,Facturas!B:B,Tabla1[[#This Row],[ID]],Facturas!T:T,"Cancelado")</f>
        <v>0</v>
      </c>
      <c r="X35" s="93">
        <f>Tabla1[[#This Row],[Ejecutado
S/.]]/SUMIF(AB:AB,Tabla1[[#This Row],[Año Proy]],T:T)</f>
        <v>0</v>
      </c>
      <c r="Y35" s="7" t="str">
        <f>IF(Tabla1[[#This Row],[Aprobado
S/.]]&gt;0,"Aprobado","Pendiente")</f>
        <v>Pendiente</v>
      </c>
      <c r="Z35" s="110"/>
      <c r="AA35" s="110">
        <f>Tabla1[[#This Row],[Fecha aprobación]]-DAY(Tabla1[[#This Row],[Fecha aprobación]])+1</f>
        <v>1</v>
      </c>
      <c r="AB35" s="28">
        <v>2024</v>
      </c>
      <c r="AC35" s="28" t="s">
        <v>369</v>
      </c>
      <c r="AD35" s="78" t="s">
        <v>238</v>
      </c>
    </row>
    <row r="36" spans="1:30" x14ac:dyDescent="0.3">
      <c r="A36" s="15" t="s">
        <v>978</v>
      </c>
      <c r="B36" s="77" t="s">
        <v>806</v>
      </c>
      <c r="C36" s="4" t="s">
        <v>802</v>
      </c>
      <c r="D36" s="3"/>
      <c r="E36" s="15" t="s">
        <v>15</v>
      </c>
      <c r="F36" s="15"/>
      <c r="G36" s="15"/>
      <c r="H36" s="15"/>
      <c r="I36" s="15">
        <f t="shared" si="0"/>
        <v>0</v>
      </c>
      <c r="J36" s="15"/>
      <c r="K36" s="15"/>
      <c r="L36" s="15" t="s">
        <v>69</v>
      </c>
      <c r="M36" s="15" t="s">
        <v>314</v>
      </c>
      <c r="N36" s="15" t="s">
        <v>380</v>
      </c>
      <c r="O36" s="16"/>
      <c r="P36" s="16"/>
      <c r="Q36" s="16"/>
      <c r="R36" s="16"/>
      <c r="S36" s="16"/>
      <c r="T36" s="7">
        <v>650</v>
      </c>
      <c r="U36" s="7">
        <f>SUMIF(Facturas!B:B,Tabla1[[#This Row],[ID]],Facturas!P:P)</f>
        <v>650</v>
      </c>
      <c r="V36" s="93">
        <f>Tabla1[[#This Row],[Aprobado
S/.]]/SUMIF(AB:AB,Tabla1[[#This Row],[Año Proy]],T:T)</f>
        <v>2.5604663988024897E-3</v>
      </c>
      <c r="W36" s="7">
        <f>SUMIFS(Facturas!P:P,Facturas!B:B,Tabla1[[#This Row],[ID]],Facturas!T:T,"Cancelado")</f>
        <v>650</v>
      </c>
      <c r="X36" s="93">
        <f>Tabla1[[#This Row],[Ejecutado
S/.]]/SUMIF(AB:AB,Tabla1[[#This Row],[Año Proy]],T:T)</f>
        <v>2.5604663988024897E-3</v>
      </c>
      <c r="Y36" s="7" t="str">
        <f>IF(Tabla1[[#This Row],[Aprobado
S/.]]&gt;0,"Aprobado","Pendiente")</f>
        <v>Aprobado</v>
      </c>
      <c r="Z36" s="110">
        <v>45292</v>
      </c>
      <c r="AA36" s="110">
        <f>Tabla1[[#This Row],[Fecha aprobación]]-DAY(Tabla1[[#This Row],[Fecha aprobación]])+1</f>
        <v>45292</v>
      </c>
      <c r="AB36" s="28">
        <v>2024</v>
      </c>
      <c r="AC36" s="28" t="s">
        <v>369</v>
      </c>
      <c r="AD36" s="78" t="s">
        <v>238</v>
      </c>
    </row>
    <row r="37" spans="1:30" x14ac:dyDescent="0.3">
      <c r="A37" s="15" t="s">
        <v>994</v>
      </c>
      <c r="B37" s="77" t="s">
        <v>995</v>
      </c>
      <c r="C37" s="193" t="s">
        <v>793</v>
      </c>
      <c r="D37" s="227"/>
      <c r="E37" s="15" t="s">
        <v>110</v>
      </c>
      <c r="F37" s="228"/>
      <c r="G37" s="228"/>
      <c r="H37" s="228"/>
      <c r="I37" s="228">
        <f t="shared" ref="I37:I42" si="1">IF(H37="S",1,IF(H37="M",2,IF(H37="L",4,IF(H37="XL",6,0))))</f>
        <v>0</v>
      </c>
      <c r="J37" s="228"/>
      <c r="K37" s="228"/>
      <c r="L37" s="15" t="s">
        <v>69</v>
      </c>
      <c r="M37" s="15" t="s">
        <v>316</v>
      </c>
      <c r="N37" s="15" t="s">
        <v>367</v>
      </c>
      <c r="O37" s="229"/>
      <c r="P37" s="229"/>
      <c r="Q37" s="229"/>
      <c r="R37" s="229"/>
      <c r="S37" s="229"/>
      <c r="T37" s="230">
        <v>0</v>
      </c>
      <c r="U37" s="230">
        <v>4980</v>
      </c>
      <c r="V37" s="231">
        <f>Tabla1[[#This Row],[Aprobado
S/.]]/SUMIF(AB:AB,Tabla1[[#This Row],[Año Proy]],T:T)</f>
        <v>1.9617111793902152E-2</v>
      </c>
      <c r="W37" s="230">
        <f>SUMIFS(Facturas!P:P,Facturas!B:B,Tabla1[[#This Row],[ID]],Facturas!T:T,"Cancelado")</f>
        <v>2490</v>
      </c>
      <c r="X37" s="231">
        <f>Tabla1[[#This Row],[Ejecutado
S/.]]/SUMIF(AB:AB,Tabla1[[#This Row],[Año Proy]],T:T)</f>
        <v>9.808555896951076E-3</v>
      </c>
      <c r="Y37" s="230" t="str">
        <f>IF(Tabla1[[#This Row],[Aprobado
S/.]]&gt;0,"Aprobado","Pendiente")</f>
        <v>Aprobado</v>
      </c>
      <c r="Z37" s="110">
        <v>45352</v>
      </c>
      <c r="AA37" s="232">
        <f>Tabla1[[#This Row],[Fecha aprobación]]-DAY(Tabla1[[#This Row],[Fecha aprobación]])+1</f>
        <v>45352</v>
      </c>
      <c r="AB37" s="28">
        <v>2024</v>
      </c>
      <c r="AC37" s="28" t="s">
        <v>369</v>
      </c>
      <c r="AD37" s="78" t="s">
        <v>238</v>
      </c>
    </row>
    <row r="38" spans="1:30" x14ac:dyDescent="0.3">
      <c r="A38" s="15" t="s">
        <v>996</v>
      </c>
      <c r="B38" s="77" t="s">
        <v>997</v>
      </c>
      <c r="C38" s="193" t="s">
        <v>794</v>
      </c>
      <c r="D38" s="227"/>
      <c r="E38" s="15" t="s">
        <v>243</v>
      </c>
      <c r="F38" s="228"/>
      <c r="G38" s="228"/>
      <c r="H38" s="228"/>
      <c r="I38" s="228">
        <f t="shared" si="1"/>
        <v>0</v>
      </c>
      <c r="J38" s="228"/>
      <c r="K38" s="228"/>
      <c r="L38" s="15" t="s">
        <v>69</v>
      </c>
      <c r="M38" s="15" t="s">
        <v>316</v>
      </c>
      <c r="N38" s="15" t="s">
        <v>367</v>
      </c>
      <c r="O38" s="229"/>
      <c r="P38" s="229"/>
      <c r="Q38" s="229"/>
      <c r="R38" s="229"/>
      <c r="S38" s="229"/>
      <c r="T38" s="230">
        <v>0</v>
      </c>
      <c r="U38" s="230">
        <v>1780</v>
      </c>
      <c r="V38" s="231">
        <f>Tabla1[[#This Row],[Aprobado
S/.]]/SUMIF(AB:AB,Tabla1[[#This Row],[Año Proy]],T:T)</f>
        <v>7.0117387536437403E-3</v>
      </c>
      <c r="W38" s="230">
        <f>SUMIFS(Facturas!P:P,Facturas!B:B,Tabla1[[#This Row],[ID]],Facturas!T:T,"Cancelado")</f>
        <v>890</v>
      </c>
      <c r="X38" s="231">
        <f>Tabla1[[#This Row],[Ejecutado
S/.]]/SUMIF(AB:AB,Tabla1[[#This Row],[Año Proy]],T:T)</f>
        <v>3.5058693768218701E-3</v>
      </c>
      <c r="Y38" s="230" t="str">
        <f>IF(Tabla1[[#This Row],[Aprobado
S/.]]&gt;0,"Aprobado","Pendiente")</f>
        <v>Aprobado</v>
      </c>
      <c r="Z38" s="110">
        <v>45352</v>
      </c>
      <c r="AA38" s="232">
        <f>Tabla1[[#This Row],[Fecha aprobación]]-DAY(Tabla1[[#This Row],[Fecha aprobación]])+1</f>
        <v>45352</v>
      </c>
      <c r="AB38" s="28">
        <v>2024</v>
      </c>
      <c r="AC38" s="28" t="s">
        <v>369</v>
      </c>
      <c r="AD38" s="78" t="s">
        <v>238</v>
      </c>
    </row>
    <row r="39" spans="1:30" x14ac:dyDescent="0.3">
      <c r="A39" s="15" t="s">
        <v>1012</v>
      </c>
      <c r="B39" s="77" t="s">
        <v>1013</v>
      </c>
      <c r="C39" s="4" t="s">
        <v>1014</v>
      </c>
      <c r="D39" s="3"/>
      <c r="E39" s="15" t="s">
        <v>364</v>
      </c>
      <c r="F39" s="15"/>
      <c r="G39" s="15"/>
      <c r="H39" s="15"/>
      <c r="I39" s="15">
        <f t="shared" si="1"/>
        <v>0</v>
      </c>
      <c r="J39" s="15"/>
      <c r="K39" s="15"/>
      <c r="L39" s="15" t="s">
        <v>69</v>
      </c>
      <c r="M39" s="15" t="s">
        <v>68</v>
      </c>
      <c r="N39" s="15" t="s">
        <v>380</v>
      </c>
      <c r="O39" s="16"/>
      <c r="P39" s="16" t="s">
        <v>115</v>
      </c>
      <c r="Q39" s="16"/>
      <c r="R39" s="16"/>
      <c r="S39" s="16"/>
      <c r="T39" s="7">
        <v>0</v>
      </c>
      <c r="U39" s="7">
        <v>11960</v>
      </c>
      <c r="V39" s="93">
        <f>Tabla1[[#This Row],[Aprobado
S/.]]/SUMIF(AB:AB,Tabla1[[#This Row],[Año Proy]],T:T)</f>
        <v>4.7112581737965807E-2</v>
      </c>
      <c r="W39" s="7">
        <f>SUMIFS(Facturas!P:P,Facturas!B:B,Tabla1[[#This Row],[ID]],Facturas!T:T,"Cancelado")</f>
        <v>0</v>
      </c>
      <c r="X39" s="93">
        <f>Tabla1[[#This Row],[Ejecutado
S/.]]/SUMIF(AB:AB,Tabla1[[#This Row],[Año Proy]],T:T)</f>
        <v>0</v>
      </c>
      <c r="Y39" s="7" t="str">
        <f>IF(Tabla1[[#This Row],[Aprobado
S/.]]&gt;0,"Aprobado","Pendiente")</f>
        <v>Aprobado</v>
      </c>
      <c r="Z39" s="110">
        <v>45444</v>
      </c>
      <c r="AA39" s="110">
        <f>Tabla1[[#This Row],[Fecha aprobación]]-DAY(Tabla1[[#This Row],[Fecha aprobación]])+1</f>
        <v>45444</v>
      </c>
      <c r="AB39" s="28">
        <v>2024</v>
      </c>
      <c r="AC39" s="28" t="s">
        <v>369</v>
      </c>
      <c r="AD39" s="78" t="s">
        <v>238</v>
      </c>
    </row>
    <row r="40" spans="1:30" x14ac:dyDescent="0.3">
      <c r="A40" s="15" t="s">
        <v>1023</v>
      </c>
      <c r="B40" s="77" t="s">
        <v>1024</v>
      </c>
      <c r="C40" s="241" t="s">
        <v>1018</v>
      </c>
      <c r="D40" s="227"/>
      <c r="E40" s="15" t="s">
        <v>364</v>
      </c>
      <c r="F40" s="228"/>
      <c r="G40" s="228"/>
      <c r="H40" s="228"/>
      <c r="I40" s="228">
        <f t="shared" si="1"/>
        <v>0</v>
      </c>
      <c r="J40" s="228"/>
      <c r="K40" s="228"/>
      <c r="L40" s="15" t="s">
        <v>69</v>
      </c>
      <c r="M40" s="15" t="s">
        <v>316</v>
      </c>
      <c r="N40" s="228" t="s">
        <v>380</v>
      </c>
      <c r="O40" s="229"/>
      <c r="P40" s="229"/>
      <c r="Q40" s="229"/>
      <c r="R40" s="229"/>
      <c r="S40" s="229"/>
      <c r="T40" s="230">
        <v>650</v>
      </c>
      <c r="U40" s="230">
        <v>650</v>
      </c>
      <c r="V40" s="231">
        <f>Tabla1[[#This Row],[Aprobado
S/.]]/SUMIF(AB:AB,Tabla1[[#This Row],[Año Proy]],T:T)</f>
        <v>2.5604663988024897E-3</v>
      </c>
      <c r="W40" s="230">
        <f>SUMIFS(Facturas!P:P,Facturas!B:B,Tabla1[[#This Row],[ID]],Facturas!T:T,"Cancelado")</f>
        <v>0</v>
      </c>
      <c r="X40" s="231">
        <f>Tabla1[[#This Row],[Ejecutado
S/.]]/SUMIF(AB:AB,Tabla1[[#This Row],[Año Proy]],T:T)</f>
        <v>0</v>
      </c>
      <c r="Y40" s="230" t="str">
        <f>IF(Tabla1[[#This Row],[Aprobado
S/.]]&gt;0,"Aprobado","Pendiente")</f>
        <v>Aprobado</v>
      </c>
      <c r="Z40" s="110">
        <v>45444</v>
      </c>
      <c r="AA40" s="232">
        <f>Tabla1[[#This Row],[Fecha aprobación]]-DAY(Tabla1[[#This Row],[Fecha aprobación]])+1</f>
        <v>45444</v>
      </c>
      <c r="AB40" s="28">
        <v>2024</v>
      </c>
      <c r="AC40" s="28" t="s">
        <v>369</v>
      </c>
      <c r="AD40" s="78" t="s">
        <v>238</v>
      </c>
    </row>
    <row r="41" spans="1:30" x14ac:dyDescent="0.3">
      <c r="A41" s="15" t="s">
        <v>1029</v>
      </c>
      <c r="B41" s="77" t="s">
        <v>1030</v>
      </c>
      <c r="C41" s="241" t="s">
        <v>1027</v>
      </c>
      <c r="D41" s="227"/>
      <c r="E41" s="228" t="s">
        <v>243</v>
      </c>
      <c r="F41" s="228"/>
      <c r="G41" s="228"/>
      <c r="H41" s="228"/>
      <c r="I41" s="228">
        <f t="shared" si="1"/>
        <v>0</v>
      </c>
      <c r="J41" s="228"/>
      <c r="K41" s="228"/>
      <c r="L41" s="15" t="s">
        <v>69</v>
      </c>
      <c r="M41" s="15" t="s">
        <v>316</v>
      </c>
      <c r="N41" s="228" t="s">
        <v>367</v>
      </c>
      <c r="O41" s="229" t="s">
        <v>115</v>
      </c>
      <c r="P41" s="229"/>
      <c r="Q41" s="229"/>
      <c r="R41" s="229"/>
      <c r="S41" s="229"/>
      <c r="T41" s="230">
        <v>0</v>
      </c>
      <c r="U41" s="230">
        <v>4340</v>
      </c>
      <c r="V41" s="231">
        <f>Tabla1[[#This Row],[Aprobado
S/.]]/SUMIF(AB:AB,Tabla1[[#This Row],[Año Proy]],T:T)</f>
        <v>1.7096037185850468E-2</v>
      </c>
      <c r="W41" s="230">
        <f>SUMIFS(Facturas!P:P,Facturas!B:B,Tabla1[[#This Row],[ID]],Facturas!T:T,"Cancelado")</f>
        <v>0</v>
      </c>
      <c r="X41" s="231">
        <f>Tabla1[[#This Row],[Ejecutado
S/.]]/SUMIF(AB:AB,Tabla1[[#This Row],[Año Proy]],T:T)</f>
        <v>0</v>
      </c>
      <c r="Y41" s="230" t="str">
        <f>IF(Tabla1[[#This Row],[Aprobado
S/.]]&gt;0,"Aprobado","Pendiente")</f>
        <v>Aprobado</v>
      </c>
      <c r="Z41" s="232">
        <v>45474</v>
      </c>
      <c r="AA41" s="232">
        <f>Tabla1[[#This Row],[Fecha aprobación]]-DAY(Tabla1[[#This Row],[Fecha aprobación]])+1</f>
        <v>45474</v>
      </c>
      <c r="AB41" s="243">
        <v>2024</v>
      </c>
      <c r="AC41" s="243" t="s">
        <v>369</v>
      </c>
      <c r="AD41" s="244" t="s">
        <v>238</v>
      </c>
    </row>
    <row r="42" spans="1:30" x14ac:dyDescent="0.3">
      <c r="A42" s="15" t="s">
        <v>1042</v>
      </c>
      <c r="B42" s="77" t="s">
        <v>1043</v>
      </c>
      <c r="C42" s="4" t="s">
        <v>1044</v>
      </c>
      <c r="D42" s="3"/>
      <c r="E42" s="15" t="s">
        <v>21</v>
      </c>
      <c r="F42" s="15"/>
      <c r="G42" s="15"/>
      <c r="H42" s="15"/>
      <c r="I42" s="15">
        <f t="shared" si="1"/>
        <v>0</v>
      </c>
      <c r="J42" s="15"/>
      <c r="K42" s="15"/>
      <c r="L42" s="15" t="s">
        <v>69</v>
      </c>
      <c r="M42" s="15" t="s">
        <v>68</v>
      </c>
      <c r="N42" s="15" t="s">
        <v>367</v>
      </c>
      <c r="O42" s="16"/>
      <c r="P42" s="16"/>
      <c r="Q42" s="16"/>
      <c r="R42" s="16"/>
      <c r="S42" s="16"/>
      <c r="T42" s="182">
        <v>2560</v>
      </c>
      <c r="U42" s="182">
        <v>2560</v>
      </c>
      <c r="V42" s="93">
        <f>Tabla1[[#This Row],[Aprobado
S/.]]/SUMIF(AB:AB,Tabla1[[#This Row],[Año Proy]],T:T)</f>
        <v>1.0084298432206729E-2</v>
      </c>
      <c r="W42" s="7">
        <f>SUMIFS(Facturas!P:P,Facturas!B:B,Tabla1[[#This Row],[ID]],Facturas!T:T,"Cancelado")</f>
        <v>0</v>
      </c>
      <c r="X42" s="93">
        <f>Tabla1[[#This Row],[Ejecutado
S/.]]/SUMIF(AB:AB,Tabla1[[#This Row],[Año Proy]],T:T)</f>
        <v>0</v>
      </c>
      <c r="Y42" s="7" t="str">
        <f>IF(Tabla1[[#This Row],[Aprobado
S/.]]&gt;0,"Aprobado","Pendiente")</f>
        <v>Aprobado</v>
      </c>
      <c r="Z42" s="232">
        <v>45474</v>
      </c>
      <c r="AA42" s="110">
        <f>Tabla1[[#This Row],[Fecha aprobación]]-DAY(Tabla1[[#This Row],[Fecha aprobación]])+1</f>
        <v>45474</v>
      </c>
      <c r="AB42" s="28">
        <v>2024</v>
      </c>
      <c r="AC42" s="28" t="s">
        <v>369</v>
      </c>
      <c r="AD42" s="78" t="s">
        <v>238</v>
      </c>
    </row>
    <row r="43" spans="1:30" x14ac:dyDescent="0.3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1:30" x14ac:dyDescent="0.3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  <row r="45" spans="1:30" x14ac:dyDescent="0.3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</row>
    <row r="46" spans="1:30" x14ac:dyDescent="0.3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:30" x14ac:dyDescent="0.3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:30" x14ac:dyDescent="0.3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1:30" x14ac:dyDescent="0.3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1:30" x14ac:dyDescent="0.3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1:30" x14ac:dyDescent="0.3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  <row r="52" spans="1:30" x14ac:dyDescent="0.3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</row>
    <row r="53" spans="1:30" x14ac:dyDescent="0.3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1:30" x14ac:dyDescent="0.3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</row>
    <row r="55" spans="1:30" x14ac:dyDescent="0.3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</row>
    <row r="56" spans="1:30" x14ac:dyDescent="0.3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</row>
    <row r="57" spans="1:30" x14ac:dyDescent="0.3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</row>
    <row r="58" spans="1:30" x14ac:dyDescent="0.3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</row>
    <row r="59" spans="1:30" x14ac:dyDescent="0.3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</row>
    <row r="60" spans="1:30" x14ac:dyDescent="0.3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</row>
    <row r="61" spans="1:30" x14ac:dyDescent="0.3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</row>
    <row r="62" spans="1:30" x14ac:dyDescent="0.3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</row>
    <row r="63" spans="1:30" x14ac:dyDescent="0.3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</row>
    <row r="64" spans="1:30" x14ac:dyDescent="0.3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</row>
    <row r="65" spans="1:30" x14ac:dyDescent="0.3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</row>
    <row r="66" spans="1:30" x14ac:dyDescent="0.3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</row>
    <row r="67" spans="1:30" x14ac:dyDescent="0.3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</row>
    <row r="68" spans="1:30" x14ac:dyDescent="0.3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</row>
    <row r="69" spans="1:30" x14ac:dyDescent="0.3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</row>
    <row r="70" spans="1:30" x14ac:dyDescent="0.3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</row>
    <row r="71" spans="1:30" x14ac:dyDescent="0.3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</row>
    <row r="72" spans="1:30" x14ac:dyDescent="0.3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</row>
    <row r="73" spans="1:30" x14ac:dyDescent="0.3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</row>
    <row r="74" spans="1:30" x14ac:dyDescent="0.3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</row>
    <row r="75" spans="1:30" x14ac:dyDescent="0.3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</row>
    <row r="76" spans="1:30" ht="15" hidden="1" customHeight="1" x14ac:dyDescent="0.3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</row>
    <row r="77" spans="1:30" x14ac:dyDescent="0.3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</row>
    <row r="79" spans="1:30" x14ac:dyDescent="0.3">
      <c r="I79" s="10">
        <f>SUBTOTAL(9,I3:I42)</f>
        <v>89</v>
      </c>
      <c r="J79" s="10">
        <f>SUBTOTAL(9,J3:J42)</f>
        <v>79</v>
      </c>
      <c r="S79" s="35" t="s">
        <v>260</v>
      </c>
      <c r="T79" s="11">
        <f>SUBTOTAL(9,T3:T42)</f>
        <v>509860</v>
      </c>
      <c r="U79" s="11">
        <f>SUBTOTAL(9,U3:U42)</f>
        <v>301805</v>
      </c>
      <c r="V79" s="198">
        <f>SUBTOTAL(9,V3:V42)</f>
        <v>1.1800638100847904</v>
      </c>
      <c r="W79" s="11">
        <f>SUBTOTAL(9,W3:W42)</f>
        <v>197720</v>
      </c>
      <c r="X79" s="198">
        <f>SUBTOTAL(9,X3:X42)</f>
        <v>0.77247645417257516</v>
      </c>
    </row>
    <row r="80" spans="1:30" x14ac:dyDescent="0.3">
      <c r="S80" s="35" t="s">
        <v>258</v>
      </c>
      <c r="T80" s="66">
        <f>T79*18%</f>
        <v>91774.8</v>
      </c>
      <c r="U80" s="66">
        <f>U79*18%</f>
        <v>54324.9</v>
      </c>
      <c r="W80" s="66">
        <f>W79*18%</f>
        <v>35589.599999999999</v>
      </c>
    </row>
    <row r="81" spans="19:23" x14ac:dyDescent="0.3">
      <c r="S81" s="35" t="s">
        <v>259</v>
      </c>
      <c r="T81" s="66">
        <f>T79+T80</f>
        <v>601634.80000000005</v>
      </c>
      <c r="U81" s="66">
        <f>U79+U80</f>
        <v>356129.9</v>
      </c>
      <c r="W81" s="66">
        <f>W79+W80</f>
        <v>233309.6</v>
      </c>
    </row>
  </sheetData>
  <mergeCells count="3">
    <mergeCell ref="E1:G1"/>
    <mergeCell ref="O1:S1"/>
    <mergeCell ref="H1:J1"/>
  </mergeCells>
  <phoneticPr fontId="8" type="noConversion"/>
  <conditionalFormatting sqref="M1:M40 M78:M1048576">
    <cfRule type="containsText" dxfId="40" priority="4" operator="containsText" text="Sin iniciar">
      <formula>NOT(ISERROR(SEARCH("Sin iniciar",M1)))</formula>
    </cfRule>
    <cfRule type="containsText" dxfId="39" priority="5" operator="containsText" text="En proceso">
      <formula>NOT(ISERROR(SEARCH("En proceso",M1)))</formula>
    </cfRule>
    <cfRule type="containsText" dxfId="38" priority="6" operator="containsText" text="Finalizado">
      <formula>NOT(ISERROR(SEARCH("Finalizado",M1)))</formula>
    </cfRule>
  </conditionalFormatting>
  <conditionalFormatting sqref="M41:M42">
    <cfRule type="containsText" dxfId="37" priority="1" operator="containsText" text="Sin iniciar">
      <formula>NOT(ISERROR(SEARCH("Sin iniciar",M41)))</formula>
    </cfRule>
    <cfRule type="containsText" dxfId="36" priority="2" operator="containsText" text="En proceso">
      <formula>NOT(ISERROR(SEARCH("En proceso",M41)))</formula>
    </cfRule>
    <cfRule type="containsText" dxfId="35" priority="3" operator="containsText" text="Finalizado">
      <formula>NOT(ISERROR(SEARCH("Finalizado",M41)))</formula>
    </cfRule>
  </conditionalFormatting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ECEC9-8487-4C29-B145-C2CA3D8EF826}">
  <sheetPr filterMode="1"/>
  <dimension ref="A1:BY100"/>
  <sheetViews>
    <sheetView showGridLines="0" zoomScaleNormal="100" workbookViewId="0">
      <pane xSplit="4" ySplit="2" topLeftCell="E3" activePane="bottomRight" state="frozen"/>
      <selection pane="topRight" activeCell="D1" sqref="D1"/>
      <selection pane="bottomLeft" activeCell="A3" sqref="A3"/>
      <selection pane="bottomRight" activeCell="H67" sqref="H67"/>
    </sheetView>
  </sheetViews>
  <sheetFormatPr baseColWidth="10" defaultColWidth="0" defaultRowHeight="14.4" x14ac:dyDescent="0.3"/>
  <cols>
    <col min="1" max="1" width="15.44140625" style="6" customWidth="1"/>
    <col min="2" max="2" width="39.109375" style="6" customWidth="1"/>
    <col min="3" max="3" width="40" style="6" customWidth="1"/>
    <col min="4" max="5" width="12.109375" style="13" customWidth="1"/>
    <col min="6" max="8" width="4" style="13" customWidth="1"/>
    <col min="9" max="10" width="9.5546875" style="13" customWidth="1"/>
    <col min="11" max="11" width="9.5546875" style="13" hidden="1" customWidth="1"/>
    <col min="12" max="16" width="3.6640625" style="13" customWidth="1"/>
    <col min="17" max="17" width="19.5546875" style="5" hidden="1" customWidth="1"/>
    <col min="18" max="30" width="15.33203125" style="5" hidden="1" customWidth="1"/>
    <col min="31" max="43" width="11.44140625" style="5" hidden="1" customWidth="1"/>
    <col min="44" max="44" width="13.88671875" style="5" customWidth="1"/>
    <col min="45" max="45" width="11.44140625" style="5" hidden="1" customWidth="1"/>
    <col min="46" max="46" width="11.44140625" style="5" customWidth="1"/>
    <col min="47" max="47" width="3.44140625" style="5" customWidth="1"/>
    <col min="48" max="54" width="10.6640625" style="13" customWidth="1"/>
    <col min="55" max="57" width="11.44140625" style="5" customWidth="1"/>
    <col min="58" max="60" width="11.44140625" style="5" hidden="1" customWidth="1"/>
    <col min="61" max="62" width="0" style="5" hidden="1" customWidth="1"/>
    <col min="63" max="67" width="11.44140625" style="5" hidden="1" customWidth="1"/>
    <col min="68" max="77" width="0" style="5" hidden="1" customWidth="1"/>
    <col min="78" max="16384" width="11.44140625" style="5" hidden="1"/>
  </cols>
  <sheetData>
    <row r="1" spans="1:54" x14ac:dyDescent="0.3">
      <c r="A1" s="24"/>
      <c r="B1" s="24"/>
      <c r="D1" s="253" t="s">
        <v>104</v>
      </c>
      <c r="E1" s="253"/>
      <c r="F1" s="253" t="s">
        <v>144</v>
      </c>
      <c r="G1" s="253"/>
      <c r="H1" s="253"/>
      <c r="L1" s="254" t="s">
        <v>116</v>
      </c>
      <c r="M1" s="254"/>
      <c r="N1" s="254"/>
      <c r="O1" s="254"/>
      <c r="P1" s="254"/>
      <c r="AR1" s="13"/>
      <c r="AT1" s="13"/>
      <c r="AU1" s="13"/>
      <c r="AV1" s="13">
        <f>D73</f>
        <v>6</v>
      </c>
      <c r="AW1" s="13">
        <f>D74</f>
        <v>5</v>
      </c>
      <c r="AX1" s="13">
        <f>D75</f>
        <v>4</v>
      </c>
      <c r="AY1" s="13">
        <f>D76</f>
        <v>3</v>
      </c>
      <c r="AZ1" s="13">
        <f>D77</f>
        <v>2</v>
      </c>
      <c r="BA1" s="13">
        <f>D78</f>
        <v>1</v>
      </c>
      <c r="BB1" s="21"/>
    </row>
    <row r="2" spans="1:54" ht="55.2" x14ac:dyDescent="0.3">
      <c r="A2" s="9" t="s">
        <v>332</v>
      </c>
      <c r="B2" s="9" t="s">
        <v>49</v>
      </c>
      <c r="C2" s="9" t="s">
        <v>70</v>
      </c>
      <c r="D2" s="10" t="s">
        <v>105</v>
      </c>
      <c r="E2" s="10" t="s">
        <v>106</v>
      </c>
      <c r="F2" s="23" t="s">
        <v>137</v>
      </c>
      <c r="G2" s="23" t="s">
        <v>143</v>
      </c>
      <c r="H2" s="23" t="s">
        <v>156</v>
      </c>
      <c r="I2" s="10" t="s">
        <v>114</v>
      </c>
      <c r="J2" s="10" t="s">
        <v>51</v>
      </c>
      <c r="K2" s="10" t="s">
        <v>50</v>
      </c>
      <c r="L2" s="20" t="s">
        <v>82</v>
      </c>
      <c r="M2" s="20" t="s">
        <v>76</v>
      </c>
      <c r="N2" s="20" t="s">
        <v>154</v>
      </c>
      <c r="O2" s="20" t="s">
        <v>130</v>
      </c>
      <c r="P2" s="20" t="s">
        <v>117</v>
      </c>
      <c r="Q2" s="14" t="s">
        <v>52</v>
      </c>
      <c r="R2" s="10" t="s">
        <v>85</v>
      </c>
      <c r="S2" s="10" t="s">
        <v>53</v>
      </c>
      <c r="T2" s="10" t="s">
        <v>54</v>
      </c>
      <c r="U2" s="10" t="s">
        <v>55</v>
      </c>
      <c r="V2" s="10" t="s">
        <v>56</v>
      </c>
      <c r="W2" s="10" t="s">
        <v>57</v>
      </c>
      <c r="X2" s="10" t="s">
        <v>58</v>
      </c>
      <c r="Y2" s="10" t="s">
        <v>59</v>
      </c>
      <c r="Z2" s="10" t="s">
        <v>60</v>
      </c>
      <c r="AA2" s="10" t="s">
        <v>61</v>
      </c>
      <c r="AB2" s="10" t="s">
        <v>62</v>
      </c>
      <c r="AC2" s="10" t="s">
        <v>63</v>
      </c>
      <c r="AD2" s="10" t="s">
        <v>64</v>
      </c>
      <c r="AE2" s="12">
        <v>44927</v>
      </c>
      <c r="AF2" s="12">
        <v>44958</v>
      </c>
      <c r="AG2" s="12">
        <v>44986</v>
      </c>
      <c r="AH2" s="12">
        <v>45017</v>
      </c>
      <c r="AI2" s="12">
        <v>45047</v>
      </c>
      <c r="AJ2" s="12">
        <v>45078</v>
      </c>
      <c r="AK2" s="12">
        <v>45108</v>
      </c>
      <c r="AL2" s="12">
        <v>45139</v>
      </c>
      <c r="AM2" s="12">
        <v>45170</v>
      </c>
      <c r="AN2" s="12">
        <v>45200</v>
      </c>
      <c r="AO2" s="12">
        <v>45231</v>
      </c>
      <c r="AP2" s="12">
        <v>45261</v>
      </c>
      <c r="AQ2" s="10" t="s">
        <v>65</v>
      </c>
      <c r="AR2" s="10" t="s">
        <v>66</v>
      </c>
      <c r="AS2" s="10" t="s">
        <v>67</v>
      </c>
      <c r="AT2" s="10" t="s">
        <v>129</v>
      </c>
      <c r="AU2" s="10"/>
      <c r="AV2" s="19" t="s">
        <v>148</v>
      </c>
      <c r="AW2" s="19" t="s">
        <v>158</v>
      </c>
      <c r="AX2" s="19" t="s">
        <v>119</v>
      </c>
      <c r="AY2" s="19" t="s">
        <v>155</v>
      </c>
      <c r="AZ2" s="19" t="s">
        <v>149</v>
      </c>
      <c r="BA2" s="19" t="s">
        <v>157</v>
      </c>
    </row>
    <row r="3" spans="1:54" x14ac:dyDescent="0.3">
      <c r="A3" s="4" t="s">
        <v>336</v>
      </c>
      <c r="B3" s="4" t="s">
        <v>357</v>
      </c>
      <c r="C3" s="4"/>
      <c r="D3" s="15" t="s">
        <v>21</v>
      </c>
      <c r="E3" s="15"/>
      <c r="F3" s="15" t="s">
        <v>139</v>
      </c>
      <c r="G3" s="15">
        <f t="shared" ref="G3:G57" si="0">IF(F3="S",1,IF(F3="M",2,IF(F3="L",4,0)))</f>
        <v>4</v>
      </c>
      <c r="H3" s="15">
        <v>4</v>
      </c>
      <c r="I3" s="15" t="s">
        <v>134</v>
      </c>
      <c r="J3" s="15" t="s">
        <v>69</v>
      </c>
      <c r="K3" s="15" t="s">
        <v>68</v>
      </c>
      <c r="L3" s="16" t="s">
        <v>115</v>
      </c>
      <c r="M3" s="16"/>
      <c r="N3" s="16"/>
      <c r="O3" s="16"/>
      <c r="P3" s="16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1">
        <f>$AR$3*$AF$74</f>
        <v>6900</v>
      </c>
      <c r="AF3" s="31">
        <f>$AR$3*$AH$74</f>
        <v>4024.9999999999995</v>
      </c>
      <c r="AG3" s="31">
        <f t="shared" ref="AG3:AI4" si="1">AF3</f>
        <v>4024.9999999999995</v>
      </c>
      <c r="AH3" s="31">
        <f t="shared" si="1"/>
        <v>4024.9999999999995</v>
      </c>
      <c r="AI3" s="31">
        <f t="shared" si="1"/>
        <v>4024.9999999999995</v>
      </c>
      <c r="AJ3" s="31"/>
      <c r="AK3" s="31"/>
      <c r="AL3" s="31"/>
      <c r="AM3" s="31"/>
      <c r="AN3" s="31"/>
      <c r="AO3" s="31"/>
      <c r="AP3" s="31"/>
      <c r="AQ3" s="31">
        <f t="shared" ref="AQ3:AQ23" si="2">SUM(AE3:AP3)</f>
        <v>23000</v>
      </c>
      <c r="AR3" s="7">
        <v>23000</v>
      </c>
      <c r="AS3" s="7"/>
      <c r="AT3" s="28">
        <v>2023</v>
      </c>
      <c r="AU3" s="15" t="s">
        <v>246</v>
      </c>
      <c r="AV3" s="22">
        <v>5</v>
      </c>
      <c r="AW3" s="22">
        <v>5</v>
      </c>
      <c r="AX3" s="22">
        <v>5</v>
      </c>
      <c r="AY3" s="22">
        <v>3</v>
      </c>
      <c r="AZ3" s="22">
        <v>5</v>
      </c>
      <c r="BA3" s="22">
        <v>1</v>
      </c>
      <c r="BB3" s="25">
        <f t="shared" ref="BB3:BB57" si="3">AV3*$AV$1+AZ3*$AZ$1+AX3*$AX$1+AY3*$AY$1+AW3*$AW$1+BA3*$BA$1</f>
        <v>95</v>
      </c>
    </row>
    <row r="4" spans="1:54" x14ac:dyDescent="0.3">
      <c r="A4" s="4" t="s">
        <v>337</v>
      </c>
      <c r="B4" s="4" t="s">
        <v>333</v>
      </c>
      <c r="C4" s="3"/>
      <c r="D4" s="15" t="s">
        <v>21</v>
      </c>
      <c r="E4" s="15"/>
      <c r="F4" s="15" t="s">
        <v>139</v>
      </c>
      <c r="G4" s="15">
        <f t="shared" si="0"/>
        <v>4</v>
      </c>
      <c r="H4" s="15">
        <v>4</v>
      </c>
      <c r="I4" s="15" t="s">
        <v>134</v>
      </c>
      <c r="J4" s="15" t="s">
        <v>69</v>
      </c>
      <c r="K4" s="15" t="s">
        <v>68</v>
      </c>
      <c r="L4" s="16" t="s">
        <v>115</v>
      </c>
      <c r="M4" s="16"/>
      <c r="N4" s="16"/>
      <c r="O4" s="16" t="s">
        <v>115</v>
      </c>
      <c r="P4" s="16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1">
        <f>$AR$4*$AF$74</f>
        <v>11100</v>
      </c>
      <c r="AF4" s="31">
        <f>$AR$4*$AH$74</f>
        <v>6475</v>
      </c>
      <c r="AG4" s="31">
        <f t="shared" si="1"/>
        <v>6475</v>
      </c>
      <c r="AH4" s="31">
        <f t="shared" si="1"/>
        <v>6475</v>
      </c>
      <c r="AI4" s="31">
        <f t="shared" si="1"/>
        <v>6475</v>
      </c>
      <c r="AJ4" s="31"/>
      <c r="AK4" s="31"/>
      <c r="AL4" s="31"/>
      <c r="AM4" s="31"/>
      <c r="AN4" s="31"/>
      <c r="AO4" s="31"/>
      <c r="AP4" s="31"/>
      <c r="AQ4" s="31">
        <f t="shared" si="2"/>
        <v>37000</v>
      </c>
      <c r="AR4" s="7">
        <v>37000</v>
      </c>
      <c r="AS4" s="7"/>
      <c r="AT4" s="28">
        <v>2023</v>
      </c>
      <c r="AU4" s="15" t="s">
        <v>246</v>
      </c>
      <c r="AV4" s="22">
        <v>5</v>
      </c>
      <c r="AW4" s="22">
        <v>5</v>
      </c>
      <c r="AX4" s="22">
        <v>5</v>
      </c>
      <c r="AY4" s="22">
        <v>3</v>
      </c>
      <c r="AZ4" s="22">
        <v>5</v>
      </c>
      <c r="BA4" s="22">
        <v>1</v>
      </c>
      <c r="BB4" s="25">
        <f t="shared" si="3"/>
        <v>95</v>
      </c>
    </row>
    <row r="5" spans="1:54" x14ac:dyDescent="0.3">
      <c r="A5" s="4" t="s">
        <v>338</v>
      </c>
      <c r="B5" s="4" t="s">
        <v>335</v>
      </c>
      <c r="C5" s="3"/>
      <c r="D5" s="15"/>
      <c r="E5" s="15"/>
      <c r="F5" s="15"/>
      <c r="G5" s="15"/>
      <c r="H5" s="15"/>
      <c r="I5" s="15"/>
      <c r="J5" s="15"/>
      <c r="K5" s="15"/>
      <c r="L5" s="16"/>
      <c r="M5" s="16"/>
      <c r="N5" s="16"/>
      <c r="O5" s="16"/>
      <c r="P5" s="16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7"/>
      <c r="AS5" s="7"/>
      <c r="AT5" s="28"/>
      <c r="AU5" s="15"/>
      <c r="AV5" s="22"/>
      <c r="AW5" s="22"/>
      <c r="AX5" s="22"/>
      <c r="AY5" s="22"/>
      <c r="AZ5" s="22"/>
      <c r="BA5" s="22"/>
      <c r="BB5" s="25"/>
    </row>
    <row r="6" spans="1:54" x14ac:dyDescent="0.3">
      <c r="A6" s="4" t="s">
        <v>339</v>
      </c>
      <c r="B6" s="4" t="s">
        <v>334</v>
      </c>
      <c r="C6" s="3"/>
      <c r="D6" s="15"/>
      <c r="E6" s="15"/>
      <c r="F6" s="15"/>
      <c r="G6" s="15"/>
      <c r="H6" s="15"/>
      <c r="I6" s="15"/>
      <c r="J6" s="15"/>
      <c r="K6" s="15"/>
      <c r="L6" s="16"/>
      <c r="M6" s="16"/>
      <c r="N6" s="16"/>
      <c r="O6" s="16"/>
      <c r="P6" s="16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7"/>
      <c r="AS6" s="7"/>
      <c r="AT6" s="28"/>
      <c r="AU6" s="15"/>
      <c r="AV6" s="22"/>
      <c r="AW6" s="22"/>
      <c r="AX6" s="22"/>
      <c r="AY6" s="22"/>
      <c r="AZ6" s="22"/>
      <c r="BA6" s="22"/>
      <c r="BB6" s="25"/>
    </row>
    <row r="7" spans="1:54" x14ac:dyDescent="0.3">
      <c r="A7" s="4" t="s">
        <v>340</v>
      </c>
      <c r="B7" s="4" t="s">
        <v>131</v>
      </c>
      <c r="C7" s="3"/>
      <c r="D7" s="15" t="s">
        <v>13</v>
      </c>
      <c r="E7" s="15"/>
      <c r="F7" s="15" t="s">
        <v>138</v>
      </c>
      <c r="G7" s="15">
        <f t="shared" si="0"/>
        <v>2</v>
      </c>
      <c r="H7" s="15">
        <v>1</v>
      </c>
      <c r="I7" s="15" t="s">
        <v>191</v>
      </c>
      <c r="J7" s="15"/>
      <c r="K7" s="15" t="s">
        <v>68</v>
      </c>
      <c r="L7" s="16" t="s">
        <v>115</v>
      </c>
      <c r="M7" s="16"/>
      <c r="N7" s="16" t="s">
        <v>115</v>
      </c>
      <c r="O7" s="16"/>
      <c r="P7" s="16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1"/>
      <c r="AF7" s="31">
        <f>AR7*45%</f>
        <v>9000</v>
      </c>
      <c r="AG7" s="31">
        <f>AR7*45%</f>
        <v>9000</v>
      </c>
      <c r="AH7" s="31">
        <f>AR7*10%</f>
        <v>2000</v>
      </c>
      <c r="AI7" s="31"/>
      <c r="AJ7" s="31"/>
      <c r="AK7" s="31"/>
      <c r="AL7" s="31"/>
      <c r="AM7" s="31"/>
      <c r="AN7" s="31"/>
      <c r="AO7" s="31"/>
      <c r="AP7" s="31"/>
      <c r="AQ7" s="31">
        <f t="shared" si="2"/>
        <v>20000</v>
      </c>
      <c r="AR7" s="7">
        <v>20000</v>
      </c>
      <c r="AS7" s="7"/>
      <c r="AT7" s="28">
        <v>2023</v>
      </c>
      <c r="AU7" s="15" t="s">
        <v>246</v>
      </c>
      <c r="AV7" s="22">
        <v>3</v>
      </c>
      <c r="AW7" s="22">
        <v>3</v>
      </c>
      <c r="AX7" s="22">
        <v>5</v>
      </c>
      <c r="AY7" s="22">
        <v>5</v>
      </c>
      <c r="AZ7" s="22">
        <v>1</v>
      </c>
      <c r="BA7" s="22">
        <v>1</v>
      </c>
      <c r="BB7" s="25">
        <f t="shared" si="3"/>
        <v>71</v>
      </c>
    </row>
    <row r="8" spans="1:54" x14ac:dyDescent="0.3">
      <c r="A8" s="4" t="s">
        <v>341</v>
      </c>
      <c r="B8" s="4" t="s">
        <v>358</v>
      </c>
      <c r="C8" s="3" t="s">
        <v>141</v>
      </c>
      <c r="D8" s="15" t="s">
        <v>19</v>
      </c>
      <c r="E8" s="15"/>
      <c r="F8" s="15" t="s">
        <v>139</v>
      </c>
      <c r="G8" s="15">
        <f t="shared" si="0"/>
        <v>4</v>
      </c>
      <c r="H8" s="15">
        <v>4</v>
      </c>
      <c r="I8" s="15" t="s">
        <v>83</v>
      </c>
      <c r="J8" s="15" t="s">
        <v>69</v>
      </c>
      <c r="K8" s="15" t="s">
        <v>68</v>
      </c>
      <c r="L8" s="16" t="s">
        <v>115</v>
      </c>
      <c r="M8" s="16"/>
      <c r="N8" s="16"/>
      <c r="O8" s="16" t="s">
        <v>115</v>
      </c>
      <c r="P8" s="16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1"/>
      <c r="AF8" s="31"/>
      <c r="AG8" s="31">
        <f>$AR$8*$AF$74</f>
        <v>6750</v>
      </c>
      <c r="AH8" s="31">
        <f>$AR$8*$AH$74</f>
        <v>3937.4999999999995</v>
      </c>
      <c r="AI8" s="31">
        <f>AH8</f>
        <v>3937.4999999999995</v>
      </c>
      <c r="AJ8" s="31">
        <f>AI8</f>
        <v>3937.4999999999995</v>
      </c>
      <c r="AK8" s="31">
        <f>AJ8</f>
        <v>3937.4999999999995</v>
      </c>
      <c r="AL8" s="31"/>
      <c r="AM8" s="31"/>
      <c r="AN8" s="31"/>
      <c r="AO8" s="31"/>
      <c r="AP8" s="31"/>
      <c r="AQ8" s="31">
        <f t="shared" si="2"/>
        <v>22500</v>
      </c>
      <c r="AR8" s="7">
        <v>22500</v>
      </c>
      <c r="AS8" s="7"/>
      <c r="AT8" s="28">
        <v>2023</v>
      </c>
      <c r="AU8" s="15" t="s">
        <v>246</v>
      </c>
      <c r="AV8" s="22">
        <v>5</v>
      </c>
      <c r="AW8" s="22">
        <v>1</v>
      </c>
      <c r="AX8" s="22">
        <v>5</v>
      </c>
      <c r="AY8" s="22">
        <v>5</v>
      </c>
      <c r="AZ8" s="22">
        <v>1</v>
      </c>
      <c r="BA8" s="22">
        <v>5</v>
      </c>
      <c r="BB8" s="25">
        <f t="shared" si="3"/>
        <v>77</v>
      </c>
    </row>
    <row r="9" spans="1:54" x14ac:dyDescent="0.3">
      <c r="A9" s="4" t="s">
        <v>342</v>
      </c>
      <c r="B9" s="4" t="s">
        <v>359</v>
      </c>
      <c r="C9" s="3" t="s">
        <v>142</v>
      </c>
      <c r="D9" s="15" t="s">
        <v>14</v>
      </c>
      <c r="E9" s="15"/>
      <c r="F9" s="15" t="s">
        <v>139</v>
      </c>
      <c r="G9" s="15">
        <f t="shared" si="0"/>
        <v>4</v>
      </c>
      <c r="H9" s="15">
        <v>4</v>
      </c>
      <c r="I9" s="15" t="s">
        <v>112</v>
      </c>
      <c r="J9" s="15" t="s">
        <v>69</v>
      </c>
      <c r="K9" s="15" t="s">
        <v>68</v>
      </c>
      <c r="L9" s="16" t="s">
        <v>115</v>
      </c>
      <c r="M9" s="16"/>
      <c r="N9" s="16"/>
      <c r="O9" s="16" t="s">
        <v>115</v>
      </c>
      <c r="P9" s="16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1"/>
      <c r="AF9" s="31"/>
      <c r="AG9" s="31"/>
      <c r="AH9" s="31">
        <f>$AR$9*$AF$74</f>
        <v>6750</v>
      </c>
      <c r="AI9" s="31">
        <f>$AR$9*$AH$74</f>
        <v>3937.4999999999995</v>
      </c>
      <c r="AJ9" s="31">
        <f>AI9</f>
        <v>3937.4999999999995</v>
      </c>
      <c r="AK9" s="31">
        <f>AJ9</f>
        <v>3937.4999999999995</v>
      </c>
      <c r="AL9" s="31">
        <f>AK9</f>
        <v>3937.4999999999995</v>
      </c>
      <c r="AM9" s="31"/>
      <c r="AN9" s="31"/>
      <c r="AO9" s="31"/>
      <c r="AP9" s="31"/>
      <c r="AQ9" s="31">
        <f t="shared" si="2"/>
        <v>22500</v>
      </c>
      <c r="AR9" s="7">
        <v>22500</v>
      </c>
      <c r="AS9" s="7"/>
      <c r="AT9" s="28">
        <v>2023</v>
      </c>
      <c r="AU9" s="15" t="s">
        <v>247</v>
      </c>
      <c r="AV9" s="22">
        <v>5</v>
      </c>
      <c r="AW9" s="22">
        <v>1</v>
      </c>
      <c r="AX9" s="22">
        <v>3</v>
      </c>
      <c r="AY9" s="22">
        <v>5</v>
      </c>
      <c r="AZ9" s="22">
        <v>1</v>
      </c>
      <c r="BA9" s="22">
        <v>5</v>
      </c>
      <c r="BB9" s="25">
        <f t="shared" si="3"/>
        <v>69</v>
      </c>
    </row>
    <row r="10" spans="1:54" x14ac:dyDescent="0.3">
      <c r="A10" s="4" t="s">
        <v>343</v>
      </c>
      <c r="B10" s="4" t="s">
        <v>360</v>
      </c>
      <c r="C10" s="3"/>
      <c r="D10" s="15" t="s">
        <v>13</v>
      </c>
      <c r="E10" s="15"/>
      <c r="F10" s="15" t="s">
        <v>140</v>
      </c>
      <c r="G10" s="15">
        <f t="shared" si="0"/>
        <v>1</v>
      </c>
      <c r="H10" s="15">
        <v>0</v>
      </c>
      <c r="I10" s="15" t="s">
        <v>191</v>
      </c>
      <c r="J10" s="15" t="s">
        <v>69</v>
      </c>
      <c r="K10" s="15" t="s">
        <v>68</v>
      </c>
      <c r="L10" s="16"/>
      <c r="M10" s="16"/>
      <c r="N10" s="16" t="s">
        <v>115</v>
      </c>
      <c r="O10" s="16"/>
      <c r="P10" s="16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1"/>
      <c r="AF10" s="31"/>
      <c r="AG10" s="31"/>
      <c r="AH10" s="31">
        <v>4000</v>
      </c>
      <c r="AI10" s="31"/>
      <c r="AJ10" s="31"/>
      <c r="AK10" s="31"/>
      <c r="AL10" s="31"/>
      <c r="AM10" s="31"/>
      <c r="AN10" s="31"/>
      <c r="AO10" s="31"/>
      <c r="AP10" s="31"/>
      <c r="AQ10" s="31">
        <f t="shared" si="2"/>
        <v>4000</v>
      </c>
      <c r="AR10" s="7">
        <v>4000</v>
      </c>
      <c r="AS10" s="7"/>
      <c r="AT10" s="28">
        <v>2023</v>
      </c>
      <c r="AU10" s="15" t="s">
        <v>247</v>
      </c>
      <c r="AV10" s="22">
        <v>5</v>
      </c>
      <c r="AW10" s="22">
        <v>5</v>
      </c>
      <c r="AX10" s="22">
        <v>1</v>
      </c>
      <c r="AY10" s="22">
        <v>3</v>
      </c>
      <c r="AZ10" s="22">
        <v>3</v>
      </c>
      <c r="BA10" s="22">
        <v>1</v>
      </c>
      <c r="BB10" s="25">
        <f t="shared" si="3"/>
        <v>75</v>
      </c>
    </row>
    <row r="11" spans="1:54" x14ac:dyDescent="0.3">
      <c r="A11" s="4" t="s">
        <v>344</v>
      </c>
      <c r="B11" s="4" t="s">
        <v>361</v>
      </c>
      <c r="C11" s="3" t="s">
        <v>88</v>
      </c>
      <c r="D11" s="15" t="s">
        <v>19</v>
      </c>
      <c r="E11" s="15"/>
      <c r="F11" s="15" t="s">
        <v>138</v>
      </c>
      <c r="G11" s="15">
        <f t="shared" si="0"/>
        <v>2</v>
      </c>
      <c r="H11" s="15">
        <v>1</v>
      </c>
      <c r="I11" s="15" t="s">
        <v>83</v>
      </c>
      <c r="J11" s="15"/>
      <c r="K11" s="15" t="s">
        <v>68</v>
      </c>
      <c r="L11" s="16" t="s">
        <v>115</v>
      </c>
      <c r="M11" s="16"/>
      <c r="N11" s="16"/>
      <c r="O11" s="16" t="s">
        <v>115</v>
      </c>
      <c r="P11" s="16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1"/>
      <c r="AF11" s="31"/>
      <c r="AG11" s="31"/>
      <c r="AH11" s="31"/>
      <c r="AI11" s="31">
        <f>$AR$11*$AF$74</f>
        <v>6000</v>
      </c>
      <c r="AJ11" s="31">
        <f>$AR$11*$AH$74</f>
        <v>3500</v>
      </c>
      <c r="AK11" s="31">
        <f>AJ11</f>
        <v>3500</v>
      </c>
      <c r="AL11" s="31">
        <f>AK11</f>
        <v>3500</v>
      </c>
      <c r="AM11" s="31">
        <f>AL11</f>
        <v>3500</v>
      </c>
      <c r="AN11" s="31"/>
      <c r="AO11" s="31"/>
      <c r="AP11" s="31"/>
      <c r="AQ11" s="31">
        <f t="shared" si="2"/>
        <v>20000</v>
      </c>
      <c r="AR11" s="7">
        <v>20000</v>
      </c>
      <c r="AS11" s="7"/>
      <c r="AT11" s="28">
        <v>2023</v>
      </c>
      <c r="AU11" s="15" t="s">
        <v>247</v>
      </c>
      <c r="AV11" s="22">
        <v>5</v>
      </c>
      <c r="AW11" s="22">
        <v>1</v>
      </c>
      <c r="AX11" s="22">
        <v>5</v>
      </c>
      <c r="AY11" s="22">
        <v>5</v>
      </c>
      <c r="AZ11" s="22">
        <v>1</v>
      </c>
      <c r="BA11" s="22">
        <v>5</v>
      </c>
      <c r="BB11" s="25">
        <f t="shared" si="3"/>
        <v>77</v>
      </c>
    </row>
    <row r="12" spans="1:54" x14ac:dyDescent="0.3">
      <c r="A12" s="4" t="s">
        <v>345</v>
      </c>
      <c r="B12" s="4" t="s">
        <v>43</v>
      </c>
      <c r="C12" s="3" t="s">
        <v>103</v>
      </c>
      <c r="D12" s="15" t="s">
        <v>15</v>
      </c>
      <c r="E12" s="15" t="s">
        <v>16</v>
      </c>
      <c r="F12" s="15" t="s">
        <v>138</v>
      </c>
      <c r="G12" s="15">
        <f t="shared" si="0"/>
        <v>2</v>
      </c>
      <c r="H12" s="15">
        <v>2</v>
      </c>
      <c r="I12" s="15" t="s">
        <v>113</v>
      </c>
      <c r="J12" s="15" t="s">
        <v>69</v>
      </c>
      <c r="K12" s="15" t="s">
        <v>68</v>
      </c>
      <c r="L12" s="16" t="s">
        <v>115</v>
      </c>
      <c r="M12" s="16"/>
      <c r="N12" s="16"/>
      <c r="O12" s="16"/>
      <c r="P12" s="16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1"/>
      <c r="AF12" s="31"/>
      <c r="AG12" s="31"/>
      <c r="AH12" s="31"/>
      <c r="AI12" s="31">
        <f>$AR$12*60%</f>
        <v>7800</v>
      </c>
      <c r="AJ12" s="31">
        <f>$AR$12*20%</f>
        <v>2600</v>
      </c>
      <c r="AK12" s="31">
        <f>AJ12</f>
        <v>2600</v>
      </c>
      <c r="AL12" s="31"/>
      <c r="AM12" s="31"/>
      <c r="AN12" s="31"/>
      <c r="AO12" s="31"/>
      <c r="AP12" s="31"/>
      <c r="AQ12" s="31">
        <f t="shared" si="2"/>
        <v>13000</v>
      </c>
      <c r="AR12" s="7">
        <v>13000</v>
      </c>
      <c r="AS12" s="7"/>
      <c r="AT12" s="28">
        <v>2023</v>
      </c>
      <c r="AU12" s="15" t="s">
        <v>247</v>
      </c>
      <c r="AV12" s="22">
        <v>3</v>
      </c>
      <c r="AW12" s="22">
        <v>5</v>
      </c>
      <c r="AX12" s="22">
        <v>3</v>
      </c>
      <c r="AY12" s="22">
        <v>3</v>
      </c>
      <c r="AZ12" s="22">
        <v>5</v>
      </c>
      <c r="BA12" s="22">
        <v>1</v>
      </c>
      <c r="BB12" s="25">
        <f t="shared" si="3"/>
        <v>75</v>
      </c>
    </row>
    <row r="13" spans="1:54" x14ac:dyDescent="0.3">
      <c r="A13" s="4" t="s">
        <v>346</v>
      </c>
      <c r="B13" s="4" t="s">
        <v>71</v>
      </c>
      <c r="C13" s="3" t="s">
        <v>72</v>
      </c>
      <c r="D13" s="15" t="s">
        <v>15</v>
      </c>
      <c r="E13" s="15"/>
      <c r="F13" s="15" t="s">
        <v>138</v>
      </c>
      <c r="G13" s="15">
        <f t="shared" si="0"/>
        <v>2</v>
      </c>
      <c r="H13" s="15">
        <v>2</v>
      </c>
      <c r="I13" s="15" t="s">
        <v>113</v>
      </c>
      <c r="J13" s="15" t="s">
        <v>69</v>
      </c>
      <c r="K13" s="15" t="s">
        <v>68</v>
      </c>
      <c r="L13" s="16" t="s">
        <v>115</v>
      </c>
      <c r="M13" s="16" t="s">
        <v>115</v>
      </c>
      <c r="N13" s="16"/>
      <c r="O13" s="16"/>
      <c r="P13" s="16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1"/>
      <c r="AF13" s="31"/>
      <c r="AG13" s="31"/>
      <c r="AH13" s="31"/>
      <c r="AI13" s="31">
        <f>$AR$13*60%</f>
        <v>6000</v>
      </c>
      <c r="AJ13" s="31">
        <f>$AR$13*20%</f>
        <v>2000</v>
      </c>
      <c r="AK13" s="31">
        <f>AJ13</f>
        <v>2000</v>
      </c>
      <c r="AL13" s="31"/>
      <c r="AM13" s="31"/>
      <c r="AN13" s="31"/>
      <c r="AO13" s="31"/>
      <c r="AP13" s="31"/>
      <c r="AQ13" s="31">
        <f t="shared" si="2"/>
        <v>10000</v>
      </c>
      <c r="AR13" s="7">
        <v>10000</v>
      </c>
      <c r="AS13" s="7"/>
      <c r="AT13" s="28">
        <v>2023</v>
      </c>
      <c r="AU13" s="15" t="s">
        <v>247</v>
      </c>
      <c r="AV13" s="22">
        <v>5</v>
      </c>
      <c r="AW13" s="22">
        <v>3</v>
      </c>
      <c r="AX13" s="22">
        <v>1</v>
      </c>
      <c r="AY13" s="22">
        <v>5</v>
      </c>
      <c r="AZ13" s="22">
        <v>1</v>
      </c>
      <c r="BA13" s="22">
        <v>1</v>
      </c>
      <c r="BB13" s="25">
        <f t="shared" si="3"/>
        <v>67</v>
      </c>
    </row>
    <row r="14" spans="1:54" x14ac:dyDescent="0.3">
      <c r="A14" s="4" t="s">
        <v>347</v>
      </c>
      <c r="B14" s="4" t="s">
        <v>136</v>
      </c>
      <c r="C14" s="3"/>
      <c r="D14" s="15" t="s">
        <v>16</v>
      </c>
      <c r="E14" s="15"/>
      <c r="F14" s="15" t="s">
        <v>138</v>
      </c>
      <c r="G14" s="15">
        <f t="shared" si="0"/>
        <v>2</v>
      </c>
      <c r="H14" s="15">
        <v>2</v>
      </c>
      <c r="I14" s="15" t="s">
        <v>111</v>
      </c>
      <c r="J14" s="15" t="s">
        <v>69</v>
      </c>
      <c r="K14" s="15" t="s">
        <v>68</v>
      </c>
      <c r="L14" s="16" t="s">
        <v>115</v>
      </c>
      <c r="M14" s="16"/>
      <c r="N14" s="16"/>
      <c r="O14" s="16"/>
      <c r="P14" s="16" t="s">
        <v>115</v>
      </c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1"/>
      <c r="AF14" s="31"/>
      <c r="AG14" s="31"/>
      <c r="AH14" s="31"/>
      <c r="AI14" s="31"/>
      <c r="AJ14" s="31">
        <f>$AR$14*50%</f>
        <v>5000</v>
      </c>
      <c r="AK14" s="31">
        <f>$AR$14*25%</f>
        <v>2500</v>
      </c>
      <c r="AL14" s="31">
        <f>AK14</f>
        <v>2500</v>
      </c>
      <c r="AM14" s="31"/>
      <c r="AN14" s="31"/>
      <c r="AO14" s="31"/>
      <c r="AP14" s="31"/>
      <c r="AQ14" s="31">
        <f t="shared" si="2"/>
        <v>10000</v>
      </c>
      <c r="AR14" s="7">
        <v>10000</v>
      </c>
      <c r="AS14" s="7"/>
      <c r="AT14" s="28">
        <v>2023</v>
      </c>
      <c r="AU14" s="15" t="s">
        <v>247</v>
      </c>
      <c r="AV14" s="22">
        <v>5</v>
      </c>
      <c r="AW14" s="22">
        <v>3</v>
      </c>
      <c r="AX14" s="22">
        <v>5</v>
      </c>
      <c r="AY14" s="22">
        <v>3</v>
      </c>
      <c r="AZ14" s="22">
        <v>1</v>
      </c>
      <c r="BA14" s="22">
        <v>1</v>
      </c>
      <c r="BB14" s="25">
        <f t="shared" si="3"/>
        <v>77</v>
      </c>
    </row>
    <row r="15" spans="1:54" x14ac:dyDescent="0.3">
      <c r="A15" s="4" t="s">
        <v>348</v>
      </c>
      <c r="B15" s="4" t="s">
        <v>89</v>
      </c>
      <c r="C15" s="3"/>
      <c r="D15" s="15" t="s">
        <v>16</v>
      </c>
      <c r="E15" s="15"/>
      <c r="F15" s="15" t="s">
        <v>138</v>
      </c>
      <c r="G15" s="15">
        <f t="shared" si="0"/>
        <v>2</v>
      </c>
      <c r="H15" s="15">
        <v>2</v>
      </c>
      <c r="I15" s="15" t="s">
        <v>111</v>
      </c>
      <c r="J15" s="15"/>
      <c r="K15" s="15" t="s">
        <v>68</v>
      </c>
      <c r="L15" s="16" t="s">
        <v>115</v>
      </c>
      <c r="M15" s="16"/>
      <c r="N15" s="16"/>
      <c r="O15" s="16"/>
      <c r="P15" s="16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1"/>
      <c r="AF15" s="31"/>
      <c r="AG15" s="31"/>
      <c r="AH15" s="31"/>
      <c r="AI15" s="31"/>
      <c r="AJ15" s="31"/>
      <c r="AK15" s="31">
        <f>AR15*50%</f>
        <v>6000</v>
      </c>
      <c r="AL15" s="31">
        <f>AR15*25%</f>
        <v>3000</v>
      </c>
      <c r="AM15" s="31">
        <f>AL15</f>
        <v>3000</v>
      </c>
      <c r="AN15" s="31"/>
      <c r="AO15" s="31"/>
      <c r="AP15" s="31"/>
      <c r="AQ15" s="31">
        <f t="shared" si="2"/>
        <v>12000</v>
      </c>
      <c r="AR15" s="7">
        <v>12000</v>
      </c>
      <c r="AS15" s="7"/>
      <c r="AT15" s="28">
        <v>2023</v>
      </c>
      <c r="AU15" s="15" t="s">
        <v>248</v>
      </c>
      <c r="AV15" s="22">
        <v>5</v>
      </c>
      <c r="AW15" s="22">
        <v>5</v>
      </c>
      <c r="AX15" s="22">
        <v>5</v>
      </c>
      <c r="AY15" s="22">
        <v>5</v>
      </c>
      <c r="AZ15" s="22">
        <v>3</v>
      </c>
      <c r="BA15" s="22">
        <v>1</v>
      </c>
      <c r="BB15" s="25">
        <f t="shared" si="3"/>
        <v>97</v>
      </c>
    </row>
    <row r="16" spans="1:54" x14ac:dyDescent="0.3">
      <c r="A16" s="4" t="s">
        <v>349</v>
      </c>
      <c r="B16" s="4" t="s">
        <v>234</v>
      </c>
      <c r="C16" s="3"/>
      <c r="D16" s="15" t="s">
        <v>97</v>
      </c>
      <c r="E16" s="15"/>
      <c r="F16" s="15" t="s">
        <v>138</v>
      </c>
      <c r="G16" s="15">
        <f t="shared" si="0"/>
        <v>2</v>
      </c>
      <c r="H16" s="15">
        <v>2</v>
      </c>
      <c r="I16" s="15"/>
      <c r="J16" s="15" t="s">
        <v>69</v>
      </c>
      <c r="K16" s="15"/>
      <c r="L16" s="16" t="s">
        <v>115</v>
      </c>
      <c r="M16" s="16" t="s">
        <v>115</v>
      </c>
      <c r="N16" s="16" t="s">
        <v>115</v>
      </c>
      <c r="O16" s="16" t="s">
        <v>115</v>
      </c>
      <c r="P16" s="16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1"/>
      <c r="AF16" s="31"/>
      <c r="AG16" s="31"/>
      <c r="AH16" s="31"/>
      <c r="AI16" s="31"/>
      <c r="AJ16" s="31"/>
      <c r="AK16" s="31">
        <v>5000</v>
      </c>
      <c r="AL16" s="31"/>
      <c r="AM16" s="31"/>
      <c r="AN16" s="31"/>
      <c r="AO16" s="31"/>
      <c r="AP16" s="31"/>
      <c r="AQ16" s="31">
        <f t="shared" si="2"/>
        <v>5000</v>
      </c>
      <c r="AR16" s="7">
        <v>5000</v>
      </c>
      <c r="AS16" s="7"/>
      <c r="AT16" s="28">
        <v>2023</v>
      </c>
      <c r="AU16" s="15" t="s">
        <v>248</v>
      </c>
      <c r="AV16" s="22">
        <v>5</v>
      </c>
      <c r="AW16" s="22">
        <v>1</v>
      </c>
      <c r="AX16" s="22">
        <v>5</v>
      </c>
      <c r="AY16" s="22">
        <v>5</v>
      </c>
      <c r="AZ16" s="22">
        <v>1</v>
      </c>
      <c r="BA16" s="22">
        <v>1</v>
      </c>
      <c r="BB16" s="25">
        <f t="shared" si="3"/>
        <v>73</v>
      </c>
    </row>
    <row r="17" spans="1:54" x14ac:dyDescent="0.3">
      <c r="A17" s="4" t="s">
        <v>350</v>
      </c>
      <c r="B17" s="4" t="s">
        <v>228</v>
      </c>
      <c r="C17" s="3" t="s">
        <v>225</v>
      </c>
      <c r="D17" s="15" t="s">
        <v>97</v>
      </c>
      <c r="E17" s="15"/>
      <c r="F17" s="15" t="s">
        <v>138</v>
      </c>
      <c r="G17" s="15">
        <f t="shared" si="0"/>
        <v>2</v>
      </c>
      <c r="H17" s="15">
        <v>2</v>
      </c>
      <c r="I17" s="15"/>
      <c r="J17" s="15" t="s">
        <v>69</v>
      </c>
      <c r="K17" s="15"/>
      <c r="L17" s="16" t="s">
        <v>115</v>
      </c>
      <c r="M17" s="16" t="s">
        <v>115</v>
      </c>
      <c r="N17" s="16" t="s">
        <v>115</v>
      </c>
      <c r="O17" s="16" t="s">
        <v>115</v>
      </c>
      <c r="P17" s="16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1"/>
      <c r="AF17" s="31"/>
      <c r="AG17" s="31"/>
      <c r="AH17" s="31"/>
      <c r="AI17" s="31"/>
      <c r="AJ17" s="31"/>
      <c r="AK17" s="31">
        <v>5000</v>
      </c>
      <c r="AL17" s="31"/>
      <c r="AM17" s="31"/>
      <c r="AN17" s="31"/>
      <c r="AO17" s="31"/>
      <c r="AP17" s="31"/>
      <c r="AQ17" s="31">
        <f t="shared" si="2"/>
        <v>5000</v>
      </c>
      <c r="AR17" s="7">
        <v>5000</v>
      </c>
      <c r="AS17" s="7"/>
      <c r="AT17" s="28">
        <v>2023</v>
      </c>
      <c r="AU17" s="15" t="s">
        <v>248</v>
      </c>
      <c r="AV17" s="22">
        <v>1</v>
      </c>
      <c r="AW17" s="22">
        <v>1</v>
      </c>
      <c r="AX17" s="22">
        <v>5</v>
      </c>
      <c r="AY17" s="22">
        <v>1</v>
      </c>
      <c r="AZ17" s="22">
        <v>1</v>
      </c>
      <c r="BA17" s="22">
        <v>3</v>
      </c>
      <c r="BB17" s="25">
        <f t="shared" si="3"/>
        <v>39</v>
      </c>
    </row>
    <row r="18" spans="1:54" ht="28.8" x14ac:dyDescent="0.3">
      <c r="A18" s="4" t="s">
        <v>351</v>
      </c>
      <c r="B18" s="4" t="s">
        <v>229</v>
      </c>
      <c r="C18" s="3"/>
      <c r="D18" s="15" t="s">
        <v>16</v>
      </c>
      <c r="E18" s="15" t="s">
        <v>108</v>
      </c>
      <c r="F18" s="15" t="s">
        <v>139</v>
      </c>
      <c r="G18" s="15">
        <f t="shared" si="0"/>
        <v>4</v>
      </c>
      <c r="H18" s="15">
        <v>4</v>
      </c>
      <c r="I18" s="15" t="s">
        <v>111</v>
      </c>
      <c r="J18" s="15"/>
      <c r="K18" s="15" t="s">
        <v>68</v>
      </c>
      <c r="L18" s="16" t="s">
        <v>115</v>
      </c>
      <c r="M18" s="16" t="s">
        <v>115</v>
      </c>
      <c r="N18" s="16"/>
      <c r="O18" s="16"/>
      <c r="P18" s="16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1"/>
      <c r="AF18" s="31"/>
      <c r="AG18" s="31"/>
      <c r="AH18" s="31"/>
      <c r="AI18" s="31"/>
      <c r="AJ18" s="31"/>
      <c r="AK18" s="31"/>
      <c r="AL18" s="31">
        <f>AR18*60%</f>
        <v>7200</v>
      </c>
      <c r="AM18" s="31">
        <f>AR18*20%</f>
        <v>2400</v>
      </c>
      <c r="AN18" s="31">
        <f>AM18</f>
        <v>2400</v>
      </c>
      <c r="AO18" s="31"/>
      <c r="AP18" s="31"/>
      <c r="AQ18" s="31">
        <f t="shared" si="2"/>
        <v>12000</v>
      </c>
      <c r="AR18" s="7">
        <v>12000</v>
      </c>
      <c r="AS18" s="7"/>
      <c r="AT18" s="28">
        <v>2023</v>
      </c>
      <c r="AU18" s="15" t="s">
        <v>248</v>
      </c>
      <c r="AV18" s="22">
        <v>5</v>
      </c>
      <c r="AW18" s="22">
        <v>5</v>
      </c>
      <c r="AX18" s="22">
        <v>5</v>
      </c>
      <c r="AY18" s="22">
        <v>5</v>
      </c>
      <c r="AZ18" s="22">
        <v>3</v>
      </c>
      <c r="BA18" s="22">
        <v>3</v>
      </c>
      <c r="BB18" s="25">
        <f t="shared" si="3"/>
        <v>99</v>
      </c>
    </row>
    <row r="19" spans="1:54" ht="28.8" x14ac:dyDescent="0.3">
      <c r="A19" s="4" t="s">
        <v>352</v>
      </c>
      <c r="B19" s="4" t="s">
        <v>91</v>
      </c>
      <c r="C19" s="3"/>
      <c r="D19" s="15" t="s">
        <v>15</v>
      </c>
      <c r="E19" s="15"/>
      <c r="F19" s="15" t="s">
        <v>138</v>
      </c>
      <c r="G19" s="15">
        <f t="shared" si="0"/>
        <v>2</v>
      </c>
      <c r="H19" s="15">
        <v>2</v>
      </c>
      <c r="I19" s="15" t="s">
        <v>113</v>
      </c>
      <c r="J19" s="15" t="s">
        <v>69</v>
      </c>
      <c r="K19" s="15" t="s">
        <v>68</v>
      </c>
      <c r="L19" s="16" t="s">
        <v>115</v>
      </c>
      <c r="M19" s="16" t="s">
        <v>115</v>
      </c>
      <c r="N19" s="16"/>
      <c r="O19" s="16"/>
      <c r="P19" s="16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1"/>
      <c r="AF19" s="31"/>
      <c r="AG19" s="31"/>
      <c r="AH19" s="31"/>
      <c r="AI19" s="31"/>
      <c r="AJ19" s="31"/>
      <c r="AK19" s="31"/>
      <c r="AL19" s="31">
        <f>AR19*70%</f>
        <v>9100</v>
      </c>
      <c r="AM19" s="31">
        <f>AR19*30%</f>
        <v>3900</v>
      </c>
      <c r="AN19" s="31"/>
      <c r="AO19" s="31"/>
      <c r="AP19" s="31"/>
      <c r="AQ19" s="31">
        <f t="shared" si="2"/>
        <v>13000</v>
      </c>
      <c r="AR19" s="7">
        <v>13000</v>
      </c>
      <c r="AS19" s="7"/>
      <c r="AT19" s="28">
        <v>2023</v>
      </c>
      <c r="AU19" s="15" t="s">
        <v>248</v>
      </c>
      <c r="AV19" s="22">
        <v>5</v>
      </c>
      <c r="AW19" s="22">
        <v>3</v>
      </c>
      <c r="AX19" s="22">
        <v>3</v>
      </c>
      <c r="AY19" s="22">
        <v>5</v>
      </c>
      <c r="AZ19" s="22">
        <v>1</v>
      </c>
      <c r="BA19" s="22">
        <v>1</v>
      </c>
      <c r="BB19" s="25">
        <f t="shared" si="3"/>
        <v>75</v>
      </c>
    </row>
    <row r="20" spans="1:54" x14ac:dyDescent="0.3">
      <c r="A20" s="4" t="s">
        <v>353</v>
      </c>
      <c r="B20" s="4" t="s">
        <v>313</v>
      </c>
      <c r="C20" s="3"/>
      <c r="D20" s="15" t="s">
        <v>174</v>
      </c>
      <c r="E20" s="15"/>
      <c r="F20" s="15" t="s">
        <v>138</v>
      </c>
      <c r="G20" s="15">
        <f t="shared" si="0"/>
        <v>2</v>
      </c>
      <c r="H20" s="15">
        <v>0</v>
      </c>
      <c r="I20" s="15" t="s">
        <v>192</v>
      </c>
      <c r="J20" s="15"/>
      <c r="K20" s="15" t="s">
        <v>68</v>
      </c>
      <c r="L20" s="16"/>
      <c r="M20" s="16"/>
      <c r="N20" s="16" t="s">
        <v>115</v>
      </c>
      <c r="O20" s="16"/>
      <c r="P20" s="16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1"/>
      <c r="AF20" s="31"/>
      <c r="AG20" s="31"/>
      <c r="AH20" s="31"/>
      <c r="AI20" s="31"/>
      <c r="AJ20" s="31"/>
      <c r="AK20" s="31"/>
      <c r="AL20" s="31">
        <v>5000</v>
      </c>
      <c r="AM20" s="31"/>
      <c r="AN20" s="31"/>
      <c r="AO20" s="31"/>
      <c r="AP20" s="31"/>
      <c r="AQ20" s="31">
        <f t="shared" si="2"/>
        <v>5000</v>
      </c>
      <c r="AR20" s="7">
        <v>5000</v>
      </c>
      <c r="AS20" s="7"/>
      <c r="AT20" s="28">
        <v>2023</v>
      </c>
      <c r="AU20" s="15" t="s">
        <v>248</v>
      </c>
      <c r="AV20" s="22">
        <v>5</v>
      </c>
      <c r="AW20" s="22">
        <v>1</v>
      </c>
      <c r="AX20" s="22">
        <v>3</v>
      </c>
      <c r="AY20" s="22">
        <v>5</v>
      </c>
      <c r="AZ20" s="22">
        <v>1</v>
      </c>
      <c r="BA20" s="22">
        <v>1</v>
      </c>
      <c r="BB20" s="25">
        <f t="shared" si="3"/>
        <v>65</v>
      </c>
    </row>
    <row r="21" spans="1:54" x14ac:dyDescent="0.3">
      <c r="A21" s="4" t="s">
        <v>354</v>
      </c>
      <c r="B21" s="4" t="s">
        <v>308</v>
      </c>
      <c r="C21" s="3"/>
      <c r="D21" s="15" t="s">
        <v>19</v>
      </c>
      <c r="E21" s="15"/>
      <c r="F21" s="15" t="s">
        <v>140</v>
      </c>
      <c r="G21" s="15">
        <f t="shared" si="0"/>
        <v>1</v>
      </c>
      <c r="H21" s="15">
        <v>1</v>
      </c>
      <c r="I21" s="15" t="s">
        <v>83</v>
      </c>
      <c r="J21" s="15" t="s">
        <v>69</v>
      </c>
      <c r="K21" s="15"/>
      <c r="L21" s="16" t="s">
        <v>115</v>
      </c>
      <c r="M21" s="16"/>
      <c r="N21" s="16"/>
      <c r="O21" s="16"/>
      <c r="P21" s="16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7">
        <v>5000</v>
      </c>
      <c r="AS21" s="7"/>
      <c r="AT21" s="28">
        <v>2023</v>
      </c>
      <c r="AU21" s="15" t="s">
        <v>246</v>
      </c>
      <c r="AV21" s="22">
        <v>5</v>
      </c>
      <c r="AW21" s="22">
        <v>5</v>
      </c>
      <c r="AX21" s="22">
        <v>3</v>
      </c>
      <c r="AY21" s="22">
        <v>3</v>
      </c>
      <c r="AZ21" s="22">
        <v>3</v>
      </c>
      <c r="BA21" s="22">
        <v>1</v>
      </c>
      <c r="BB21" s="25">
        <f t="shared" si="3"/>
        <v>83</v>
      </c>
    </row>
    <row r="22" spans="1:54" hidden="1" x14ac:dyDescent="0.3">
      <c r="A22" s="4"/>
      <c r="B22" s="4" t="s">
        <v>230</v>
      </c>
      <c r="C22" s="4" t="s">
        <v>78</v>
      </c>
      <c r="D22" s="15" t="s">
        <v>19</v>
      </c>
      <c r="E22" s="15"/>
      <c r="F22" s="15" t="s">
        <v>140</v>
      </c>
      <c r="G22" s="15">
        <f t="shared" si="0"/>
        <v>1</v>
      </c>
      <c r="H22" s="15">
        <v>1</v>
      </c>
      <c r="I22" s="15" t="s">
        <v>83</v>
      </c>
      <c r="J22" s="15" t="s">
        <v>69</v>
      </c>
      <c r="K22" s="15" t="s">
        <v>68</v>
      </c>
      <c r="L22" s="16" t="s">
        <v>115</v>
      </c>
      <c r="M22" s="16"/>
      <c r="N22" s="16"/>
      <c r="O22" s="16"/>
      <c r="P22" s="16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1"/>
      <c r="AF22" s="31"/>
      <c r="AG22" s="31"/>
      <c r="AH22" s="31"/>
      <c r="AI22" s="31"/>
      <c r="AJ22" s="31"/>
      <c r="AK22" s="31"/>
      <c r="AL22" s="31"/>
      <c r="AM22" s="31"/>
      <c r="AN22" s="31">
        <v>5000</v>
      </c>
      <c r="AO22" s="31"/>
      <c r="AP22" s="31"/>
      <c r="AQ22" s="31">
        <f t="shared" si="2"/>
        <v>5000</v>
      </c>
      <c r="AR22" s="7">
        <v>5000</v>
      </c>
      <c r="AS22" s="7"/>
      <c r="AT22" s="28" t="s">
        <v>179</v>
      </c>
      <c r="AU22" s="15"/>
      <c r="AV22" s="22">
        <v>5</v>
      </c>
      <c r="AW22" s="22">
        <v>3</v>
      </c>
      <c r="AX22" s="22">
        <v>5</v>
      </c>
      <c r="AY22" s="22">
        <v>1</v>
      </c>
      <c r="AZ22" s="22">
        <v>1</v>
      </c>
      <c r="BA22" s="22">
        <v>1</v>
      </c>
      <c r="BB22" s="25">
        <f t="shared" si="3"/>
        <v>71</v>
      </c>
    </row>
    <row r="23" spans="1:54" x14ac:dyDescent="0.3">
      <c r="A23" s="4" t="s">
        <v>355</v>
      </c>
      <c r="B23" s="4" t="s">
        <v>92</v>
      </c>
      <c r="C23" s="4"/>
      <c r="D23" s="15" t="s">
        <v>15</v>
      </c>
      <c r="E23" s="15" t="s">
        <v>109</v>
      </c>
      <c r="F23" s="15" t="s">
        <v>140</v>
      </c>
      <c r="G23" s="15">
        <f t="shared" si="0"/>
        <v>1</v>
      </c>
      <c r="H23" s="15">
        <v>1</v>
      </c>
      <c r="I23" s="15" t="s">
        <v>113</v>
      </c>
      <c r="J23" s="15" t="s">
        <v>69</v>
      </c>
      <c r="K23" s="15" t="s">
        <v>68</v>
      </c>
      <c r="L23" s="16" t="s">
        <v>115</v>
      </c>
      <c r="M23" s="16"/>
      <c r="N23" s="16"/>
      <c r="O23" s="16"/>
      <c r="P23" s="16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1"/>
      <c r="AF23" s="31"/>
      <c r="AG23" s="31"/>
      <c r="AH23" s="31"/>
      <c r="AI23" s="31"/>
      <c r="AJ23" s="31"/>
      <c r="AK23" s="31"/>
      <c r="AL23" s="31"/>
      <c r="AM23" s="31"/>
      <c r="AN23" s="31">
        <v>5000</v>
      </c>
      <c r="AO23" s="31">
        <v>5000</v>
      </c>
      <c r="AP23" s="31"/>
      <c r="AQ23" s="31">
        <f t="shared" si="2"/>
        <v>10000</v>
      </c>
      <c r="AR23" s="7">
        <v>10000</v>
      </c>
      <c r="AS23" s="7"/>
      <c r="AT23" s="28">
        <v>2023</v>
      </c>
      <c r="AU23" s="15" t="s">
        <v>249</v>
      </c>
      <c r="AV23" s="22">
        <v>3</v>
      </c>
      <c r="AW23" s="22">
        <v>1</v>
      </c>
      <c r="AX23" s="22">
        <v>5</v>
      </c>
      <c r="AY23" s="22">
        <v>3</v>
      </c>
      <c r="AZ23" s="22">
        <v>3</v>
      </c>
      <c r="BA23" s="22">
        <v>1</v>
      </c>
      <c r="BB23" s="25">
        <f t="shared" si="3"/>
        <v>59</v>
      </c>
    </row>
    <row r="24" spans="1:54" x14ac:dyDescent="0.3">
      <c r="A24" s="4" t="s">
        <v>356</v>
      </c>
      <c r="B24" s="4" t="s">
        <v>193</v>
      </c>
      <c r="C24" s="4"/>
      <c r="D24" s="15" t="s">
        <v>15</v>
      </c>
      <c r="E24" s="15" t="s">
        <v>21</v>
      </c>
      <c r="F24" s="15" t="s">
        <v>140</v>
      </c>
      <c r="G24" s="15">
        <f t="shared" si="0"/>
        <v>1</v>
      </c>
      <c r="H24" s="15">
        <v>1</v>
      </c>
      <c r="I24" s="15" t="s">
        <v>113</v>
      </c>
      <c r="J24" s="15" t="s">
        <v>69</v>
      </c>
      <c r="K24" s="15"/>
      <c r="L24" s="16"/>
      <c r="M24" s="16" t="s">
        <v>115</v>
      </c>
      <c r="N24" s="16"/>
      <c r="O24" s="16"/>
      <c r="P24" s="16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>
        <v>7000</v>
      </c>
      <c r="AS24" s="7"/>
      <c r="AT24" s="28">
        <v>2023</v>
      </c>
      <c r="AU24" s="15" t="s">
        <v>246</v>
      </c>
      <c r="AV24" s="22">
        <v>5</v>
      </c>
      <c r="AW24" s="22">
        <v>5</v>
      </c>
      <c r="AX24" s="22">
        <v>5</v>
      </c>
      <c r="AY24" s="22">
        <v>3</v>
      </c>
      <c r="AZ24" s="22">
        <v>5</v>
      </c>
      <c r="BA24" s="22">
        <v>1</v>
      </c>
      <c r="BB24" s="22">
        <f t="shared" si="3"/>
        <v>95</v>
      </c>
    </row>
    <row r="25" spans="1:54" ht="43.2" hidden="1" x14ac:dyDescent="0.3">
      <c r="A25" s="4"/>
      <c r="B25" s="4" t="s">
        <v>79</v>
      </c>
      <c r="C25" s="4" t="s">
        <v>84</v>
      </c>
      <c r="D25" s="15" t="s">
        <v>19</v>
      </c>
      <c r="E25" s="15"/>
      <c r="F25" s="15" t="s">
        <v>139</v>
      </c>
      <c r="G25" s="15">
        <f>IF(F25="S",1,IF(F25="M",2,IF(F25="L",4,0)))</f>
        <v>4</v>
      </c>
      <c r="H25" s="15">
        <v>1</v>
      </c>
      <c r="I25" s="15" t="s">
        <v>83</v>
      </c>
      <c r="J25" s="15" t="s">
        <v>69</v>
      </c>
      <c r="K25" s="15" t="s">
        <v>68</v>
      </c>
      <c r="L25" s="16" t="s">
        <v>115</v>
      </c>
      <c r="M25" s="16"/>
      <c r="N25" s="16"/>
      <c r="O25" s="16"/>
      <c r="P25" s="16" t="s">
        <v>115</v>
      </c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>
        <v>80000</v>
      </c>
      <c r="AS25" s="7"/>
      <c r="AT25" s="28" t="s">
        <v>179</v>
      </c>
      <c r="AU25" s="15"/>
      <c r="AV25" s="22">
        <v>5</v>
      </c>
      <c r="AW25" s="22">
        <v>5</v>
      </c>
      <c r="AX25" s="22">
        <v>3</v>
      </c>
      <c r="AY25" s="22">
        <v>5</v>
      </c>
      <c r="AZ25" s="22">
        <v>1</v>
      </c>
      <c r="BA25" s="22">
        <v>3</v>
      </c>
      <c r="BB25" s="22">
        <f>AV25*$AV$1+AZ25*$AZ$1+AX25*$AX$1+AY25*$AY$1+AW25*$AW$1+BA25*$BA$1</f>
        <v>87</v>
      </c>
    </row>
    <row r="26" spans="1:54" ht="28.8" hidden="1" x14ac:dyDescent="0.3">
      <c r="A26" s="4"/>
      <c r="B26" s="4" t="s">
        <v>223</v>
      </c>
      <c r="C26" s="4"/>
      <c r="D26" s="15" t="s">
        <v>13</v>
      </c>
      <c r="E26" s="15"/>
      <c r="F26" s="15" t="s">
        <v>138</v>
      </c>
      <c r="G26" s="15">
        <f t="shared" si="0"/>
        <v>2</v>
      </c>
      <c r="H26" s="15">
        <v>0</v>
      </c>
      <c r="I26" s="15" t="s">
        <v>191</v>
      </c>
      <c r="J26" s="15"/>
      <c r="K26" s="15" t="s">
        <v>68</v>
      </c>
      <c r="L26" s="16" t="s">
        <v>115</v>
      </c>
      <c r="M26" s="16"/>
      <c r="N26" s="16" t="s">
        <v>115</v>
      </c>
      <c r="O26" s="16"/>
      <c r="P26" s="16" t="s">
        <v>115</v>
      </c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>
        <v>5000</v>
      </c>
      <c r="AS26" s="7"/>
      <c r="AT26" s="28" t="s">
        <v>224</v>
      </c>
      <c r="AU26" s="15"/>
      <c r="AV26" s="22">
        <v>5</v>
      </c>
      <c r="AW26" s="22">
        <v>5</v>
      </c>
      <c r="AX26" s="22">
        <v>3</v>
      </c>
      <c r="AY26" s="22">
        <v>5</v>
      </c>
      <c r="AZ26" s="22">
        <v>1</v>
      </c>
      <c r="BA26" s="22">
        <v>1</v>
      </c>
      <c r="BB26" s="22">
        <f t="shared" si="3"/>
        <v>85</v>
      </c>
    </row>
    <row r="27" spans="1:54" ht="28.8" hidden="1" x14ac:dyDescent="0.3">
      <c r="A27" s="4"/>
      <c r="B27" s="4" t="s">
        <v>151</v>
      </c>
      <c r="C27" s="4"/>
      <c r="D27" s="15" t="s">
        <v>15</v>
      </c>
      <c r="E27" s="15"/>
      <c r="F27" s="15" t="s">
        <v>139</v>
      </c>
      <c r="G27" s="15">
        <f t="shared" si="0"/>
        <v>4</v>
      </c>
      <c r="H27" s="15">
        <v>4</v>
      </c>
      <c r="I27" s="15" t="s">
        <v>113</v>
      </c>
      <c r="J27" s="15" t="s">
        <v>69</v>
      </c>
      <c r="K27" s="15" t="s">
        <v>68</v>
      </c>
      <c r="L27" s="16" t="s">
        <v>115</v>
      </c>
      <c r="M27" s="16" t="s">
        <v>115</v>
      </c>
      <c r="N27" s="16"/>
      <c r="O27" s="16" t="s">
        <v>115</v>
      </c>
      <c r="P27" s="16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>
        <v>16000</v>
      </c>
      <c r="AS27" s="7"/>
      <c r="AT27" s="28" t="s">
        <v>224</v>
      </c>
      <c r="AU27" s="15"/>
      <c r="AV27" s="22">
        <v>5</v>
      </c>
      <c r="AW27" s="22">
        <v>5</v>
      </c>
      <c r="AX27" s="22">
        <v>3</v>
      </c>
      <c r="AY27" s="22">
        <v>5</v>
      </c>
      <c r="AZ27" s="22">
        <v>1</v>
      </c>
      <c r="BA27" s="22">
        <v>1</v>
      </c>
      <c r="BB27" s="22">
        <f t="shared" si="3"/>
        <v>85</v>
      </c>
    </row>
    <row r="28" spans="1:54" hidden="1" x14ac:dyDescent="0.3">
      <c r="A28" s="4"/>
      <c r="B28" s="4" t="s">
        <v>172</v>
      </c>
      <c r="C28" s="4"/>
      <c r="D28" s="15" t="s">
        <v>97</v>
      </c>
      <c r="E28" s="15"/>
      <c r="F28" s="15" t="s">
        <v>140</v>
      </c>
      <c r="G28" s="15">
        <f>IF(F28="S",1,IF(F28="M",2,IF(F28="L",4,0)))</f>
        <v>1</v>
      </c>
      <c r="H28" s="15">
        <v>0</v>
      </c>
      <c r="I28" s="15"/>
      <c r="J28" s="15"/>
      <c r="K28" s="15" t="s">
        <v>68</v>
      </c>
      <c r="L28" s="16"/>
      <c r="M28" s="16"/>
      <c r="N28" s="16" t="s">
        <v>115</v>
      </c>
      <c r="O28" s="16"/>
      <c r="P28" s="16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27">
        <v>0</v>
      </c>
      <c r="AS28" s="7"/>
      <c r="AT28" s="28" t="s">
        <v>179</v>
      </c>
      <c r="AU28" s="15"/>
      <c r="AV28" s="22">
        <v>5</v>
      </c>
      <c r="AW28" s="22">
        <v>3</v>
      </c>
      <c r="AX28" s="22">
        <v>5</v>
      </c>
      <c r="AY28" s="22">
        <v>5</v>
      </c>
      <c r="AZ28" s="22">
        <v>1</v>
      </c>
      <c r="BA28" s="22">
        <v>1</v>
      </c>
      <c r="BB28" s="22">
        <f>AV28*$AV$1+AZ28*$AZ$1+AX28*$AX$1+AY28*$AY$1+AW28*$AW$1+BA28*$BA$1</f>
        <v>83</v>
      </c>
    </row>
    <row r="29" spans="1:54" hidden="1" x14ac:dyDescent="0.3">
      <c r="A29" s="4"/>
      <c r="B29" s="4" t="s">
        <v>98</v>
      </c>
      <c r="C29" s="4"/>
      <c r="D29" s="15" t="s">
        <v>14</v>
      </c>
      <c r="E29" s="15"/>
      <c r="F29" s="15" t="s">
        <v>139</v>
      </c>
      <c r="G29" s="15">
        <f>IF(F29="S",1,IF(F29="M",2,IF(F29="L",4,0)))</f>
        <v>4</v>
      </c>
      <c r="H29" s="15">
        <v>4</v>
      </c>
      <c r="I29" s="15" t="s">
        <v>112</v>
      </c>
      <c r="J29" s="15" t="s">
        <v>69</v>
      </c>
      <c r="K29" s="15" t="s">
        <v>68</v>
      </c>
      <c r="L29" s="16"/>
      <c r="M29" s="16"/>
      <c r="N29" s="16"/>
      <c r="O29" s="16"/>
      <c r="P29" s="16" t="s">
        <v>115</v>
      </c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>
        <v>20000</v>
      </c>
      <c r="AS29" s="7"/>
      <c r="AT29" s="28" t="s">
        <v>179</v>
      </c>
      <c r="AU29" s="15"/>
      <c r="AV29" s="22">
        <v>5</v>
      </c>
      <c r="AW29" s="22">
        <v>3</v>
      </c>
      <c r="AX29" s="22">
        <v>3</v>
      </c>
      <c r="AY29" s="22">
        <v>5</v>
      </c>
      <c r="AZ29" s="22">
        <v>1</v>
      </c>
      <c r="BA29" s="22">
        <v>5</v>
      </c>
      <c r="BB29" s="22">
        <f>AV29*$AV$1+AZ29*$AZ$1+AX29*$AX$1+AY29*$AY$1+AW29*$AW$1+BA29*$BA$1</f>
        <v>79</v>
      </c>
    </row>
    <row r="30" spans="1:54" ht="43.2" hidden="1" x14ac:dyDescent="0.3">
      <c r="A30" s="4"/>
      <c r="B30" s="4" t="s">
        <v>215</v>
      </c>
      <c r="C30" s="4" t="s">
        <v>217</v>
      </c>
      <c r="D30" s="15" t="s">
        <v>19</v>
      </c>
      <c r="E30" s="15" t="s">
        <v>216</v>
      </c>
      <c r="F30" s="15" t="s">
        <v>139</v>
      </c>
      <c r="G30" s="15">
        <f t="shared" si="0"/>
        <v>4</v>
      </c>
      <c r="H30" s="15">
        <v>4</v>
      </c>
      <c r="I30" s="15" t="s">
        <v>83</v>
      </c>
      <c r="J30" s="15" t="s">
        <v>69</v>
      </c>
      <c r="K30" s="15" t="s">
        <v>68</v>
      </c>
      <c r="L30" s="16" t="s">
        <v>115</v>
      </c>
      <c r="M30" s="16"/>
      <c r="N30" s="16"/>
      <c r="O30" s="16"/>
      <c r="P30" s="16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>
        <v>16000</v>
      </c>
      <c r="AS30" s="7"/>
      <c r="AT30" s="28" t="s">
        <v>224</v>
      </c>
      <c r="AU30" s="15"/>
      <c r="AV30" s="22">
        <v>5</v>
      </c>
      <c r="AW30" s="22">
        <v>3</v>
      </c>
      <c r="AX30" s="22">
        <v>5</v>
      </c>
      <c r="AY30" s="22">
        <v>3</v>
      </c>
      <c r="AZ30" s="22">
        <v>1</v>
      </c>
      <c r="BA30" s="22">
        <v>3</v>
      </c>
      <c r="BB30" s="22">
        <f t="shared" si="3"/>
        <v>79</v>
      </c>
    </row>
    <row r="31" spans="1:54" ht="28.8" hidden="1" x14ac:dyDescent="0.3">
      <c r="A31" s="4"/>
      <c r="B31" s="4" t="s">
        <v>171</v>
      </c>
      <c r="C31" s="4"/>
      <c r="D31" s="15" t="s">
        <v>15</v>
      </c>
      <c r="E31" s="15" t="s">
        <v>19</v>
      </c>
      <c r="F31" s="15" t="s">
        <v>138</v>
      </c>
      <c r="G31" s="15">
        <f t="shared" si="0"/>
        <v>2</v>
      </c>
      <c r="H31" s="15">
        <v>2</v>
      </c>
      <c r="I31" s="15" t="s">
        <v>113</v>
      </c>
      <c r="J31" s="15" t="s">
        <v>69</v>
      </c>
      <c r="K31" s="15" t="s">
        <v>68</v>
      </c>
      <c r="L31" s="16" t="s">
        <v>115</v>
      </c>
      <c r="M31" s="16"/>
      <c r="N31" s="16"/>
      <c r="O31" s="16"/>
      <c r="P31" s="16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>
        <v>5000</v>
      </c>
      <c r="AS31" s="7"/>
      <c r="AT31" s="28" t="s">
        <v>224</v>
      </c>
      <c r="AU31" s="15"/>
      <c r="AV31" s="22">
        <v>5</v>
      </c>
      <c r="AW31" s="22">
        <v>3</v>
      </c>
      <c r="AX31" s="22">
        <v>3</v>
      </c>
      <c r="AY31" s="22">
        <v>5</v>
      </c>
      <c r="AZ31" s="22">
        <v>1</v>
      </c>
      <c r="BA31" s="22">
        <v>1</v>
      </c>
      <c r="BB31" s="22">
        <f t="shared" si="3"/>
        <v>75</v>
      </c>
    </row>
    <row r="32" spans="1:54" ht="28.8" hidden="1" x14ac:dyDescent="0.3">
      <c r="A32" s="4"/>
      <c r="B32" s="4" t="s">
        <v>132</v>
      </c>
      <c r="C32" s="4"/>
      <c r="D32" s="15" t="s">
        <v>174</v>
      </c>
      <c r="E32" s="15"/>
      <c r="F32" s="15" t="s">
        <v>138</v>
      </c>
      <c r="G32" s="15">
        <f t="shared" si="0"/>
        <v>2</v>
      </c>
      <c r="H32" s="15">
        <v>2</v>
      </c>
      <c r="I32" s="15" t="s">
        <v>192</v>
      </c>
      <c r="J32" s="15" t="s">
        <v>69</v>
      </c>
      <c r="K32" s="15" t="s">
        <v>68</v>
      </c>
      <c r="L32" s="16" t="s">
        <v>115</v>
      </c>
      <c r="M32" s="16"/>
      <c r="N32" s="16" t="s">
        <v>115</v>
      </c>
      <c r="O32" s="16"/>
      <c r="P32" s="16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>
        <v>18000</v>
      </c>
      <c r="AS32" s="7"/>
      <c r="AT32" s="28" t="s">
        <v>224</v>
      </c>
      <c r="AU32" s="15"/>
      <c r="AV32" s="22">
        <v>5</v>
      </c>
      <c r="AW32" s="22">
        <v>3</v>
      </c>
      <c r="AX32" s="22">
        <v>3</v>
      </c>
      <c r="AY32" s="22">
        <v>5</v>
      </c>
      <c r="AZ32" s="22">
        <v>1</v>
      </c>
      <c r="BA32" s="22">
        <v>1</v>
      </c>
      <c r="BB32" s="22">
        <f t="shared" si="3"/>
        <v>75</v>
      </c>
    </row>
    <row r="33" spans="1:54" ht="28.8" hidden="1" x14ac:dyDescent="0.3">
      <c r="A33" s="4"/>
      <c r="B33" s="4" t="s">
        <v>301</v>
      </c>
      <c r="C33" s="4"/>
      <c r="D33" s="15" t="s">
        <v>15</v>
      </c>
      <c r="E33" s="15" t="s">
        <v>19</v>
      </c>
      <c r="F33" s="15" t="s">
        <v>138</v>
      </c>
      <c r="G33" s="15">
        <f>IF(F33="S",1,IF(F33="M",2,IF(F33="L",4,0)))</f>
        <v>2</v>
      </c>
      <c r="H33" s="15">
        <v>2</v>
      </c>
      <c r="I33" s="15" t="s">
        <v>113</v>
      </c>
      <c r="J33" s="15" t="s">
        <v>69</v>
      </c>
      <c r="K33" s="15"/>
      <c r="L33" s="16" t="s">
        <v>115</v>
      </c>
      <c r="M33" s="16" t="s">
        <v>115</v>
      </c>
      <c r="N33" s="16"/>
      <c r="O33" s="16"/>
      <c r="P33" s="16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28" t="s">
        <v>224</v>
      </c>
      <c r="AU33" s="15"/>
      <c r="AV33" s="22">
        <v>5</v>
      </c>
      <c r="AW33" s="22">
        <v>1</v>
      </c>
      <c r="AX33" s="22">
        <v>5</v>
      </c>
      <c r="AY33" s="22">
        <v>5</v>
      </c>
      <c r="AZ33" s="22">
        <v>1</v>
      </c>
      <c r="BA33" s="22">
        <v>1</v>
      </c>
      <c r="BB33" s="22">
        <f>AV33*$AV$1+AZ33*$AZ$1+AX33*$AX$1+AY33*$AY$1+AW33*$AW$1+BA33*$BA$1</f>
        <v>73</v>
      </c>
    </row>
    <row r="34" spans="1:54" ht="28.8" hidden="1" x14ac:dyDescent="0.3">
      <c r="A34" s="4"/>
      <c r="B34" s="4" t="s">
        <v>186</v>
      </c>
      <c r="C34" s="4"/>
      <c r="D34" s="15" t="s">
        <v>13</v>
      </c>
      <c r="E34" s="15"/>
      <c r="F34" s="15" t="s">
        <v>138</v>
      </c>
      <c r="G34" s="15">
        <f>IF(F34="S",1,IF(F34="M",2,IF(F34="L",4,0)))</f>
        <v>2</v>
      </c>
      <c r="H34" s="15">
        <v>2</v>
      </c>
      <c r="I34" s="15" t="s">
        <v>191</v>
      </c>
      <c r="J34" s="15" t="s">
        <v>69</v>
      </c>
      <c r="K34" s="15" t="s">
        <v>68</v>
      </c>
      <c r="L34" s="16" t="s">
        <v>115</v>
      </c>
      <c r="M34" s="16"/>
      <c r="N34" s="16"/>
      <c r="O34" s="16"/>
      <c r="P34" s="16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>
        <v>5000</v>
      </c>
      <c r="AS34" s="7"/>
      <c r="AT34" s="28" t="s">
        <v>224</v>
      </c>
      <c r="AU34" s="15" t="s">
        <v>190</v>
      </c>
      <c r="AV34" s="22">
        <v>5</v>
      </c>
      <c r="AW34" s="22">
        <v>5</v>
      </c>
      <c r="AX34" s="22">
        <v>3</v>
      </c>
      <c r="AY34" s="22">
        <v>1</v>
      </c>
      <c r="AZ34" s="22">
        <v>1</v>
      </c>
      <c r="BA34" s="22">
        <v>1</v>
      </c>
      <c r="BB34" s="22">
        <f>AV34*$AV$1+AZ34*$AZ$1+AX34*$AX$1+AY34*$AY$1+AW34*$AW$1+BA34*$BA$1</f>
        <v>73</v>
      </c>
    </row>
    <row r="35" spans="1:54" ht="28.8" hidden="1" x14ac:dyDescent="0.3">
      <c r="A35" s="4"/>
      <c r="B35" s="4" t="s">
        <v>261</v>
      </c>
      <c r="C35" s="4"/>
      <c r="D35" s="15" t="s">
        <v>13</v>
      </c>
      <c r="E35" s="15"/>
      <c r="F35" s="15" t="s">
        <v>138</v>
      </c>
      <c r="G35" s="15">
        <f>IF(F35="S",1,IF(F35="M",2,IF(F35="L",4,0)))</f>
        <v>2</v>
      </c>
      <c r="H35" s="15">
        <v>2</v>
      </c>
      <c r="I35" s="15" t="s">
        <v>191</v>
      </c>
      <c r="J35" s="15" t="s">
        <v>69</v>
      </c>
      <c r="K35" s="15" t="s">
        <v>68</v>
      </c>
      <c r="L35" s="16" t="s">
        <v>115</v>
      </c>
      <c r="M35" s="16"/>
      <c r="N35" s="16" t="s">
        <v>115</v>
      </c>
      <c r="O35" s="16"/>
      <c r="P35" s="16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>
        <v>10000</v>
      </c>
      <c r="AS35" s="7"/>
      <c r="AT35" s="28" t="s">
        <v>224</v>
      </c>
      <c r="AU35" s="15" t="s">
        <v>190</v>
      </c>
      <c r="AV35" s="22">
        <v>5</v>
      </c>
      <c r="AW35" s="22">
        <v>5</v>
      </c>
      <c r="AX35" s="22">
        <v>1</v>
      </c>
      <c r="AY35" s="22">
        <v>3</v>
      </c>
      <c r="AZ35" s="22">
        <v>1</v>
      </c>
      <c r="BA35" s="22">
        <v>1</v>
      </c>
      <c r="BB35" s="22">
        <f>AV35*$AV$1+AZ35*$AZ$1+AX35*$AX$1+AY35*$AY$1+AW35*$AW$1+BA35*$BA$1</f>
        <v>71</v>
      </c>
    </row>
    <row r="36" spans="1:54" ht="28.8" hidden="1" x14ac:dyDescent="0.3">
      <c r="A36" s="4"/>
      <c r="B36" s="4" t="s">
        <v>188</v>
      </c>
      <c r="C36" s="4"/>
      <c r="D36" s="15" t="s">
        <v>110</v>
      </c>
      <c r="E36" s="15"/>
      <c r="F36" s="15" t="s">
        <v>138</v>
      </c>
      <c r="G36" s="15">
        <f>IF(F36="S",1,IF(F36="M",2,IF(F36="L",4,0)))</f>
        <v>2</v>
      </c>
      <c r="H36" s="15">
        <v>1</v>
      </c>
      <c r="I36" s="15" t="s">
        <v>235</v>
      </c>
      <c r="J36" s="15" t="s">
        <v>69</v>
      </c>
      <c r="K36" s="15" t="s">
        <v>68</v>
      </c>
      <c r="L36" s="16"/>
      <c r="M36" s="16"/>
      <c r="N36" s="16" t="s">
        <v>115</v>
      </c>
      <c r="O36" s="16"/>
      <c r="P36" s="16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>
        <f>2500*4</f>
        <v>10000</v>
      </c>
      <c r="AS36" s="7"/>
      <c r="AT36" s="28" t="s">
        <v>224</v>
      </c>
      <c r="AU36" s="15" t="s">
        <v>190</v>
      </c>
      <c r="AV36" s="22">
        <v>5</v>
      </c>
      <c r="AW36" s="22">
        <v>5</v>
      </c>
      <c r="AX36" s="22">
        <v>1</v>
      </c>
      <c r="AY36" s="22">
        <v>3</v>
      </c>
      <c r="AZ36" s="22">
        <v>1</v>
      </c>
      <c r="BA36" s="22">
        <v>1</v>
      </c>
      <c r="BB36" s="22">
        <f>AV36*$AV$1+AZ36*$AZ$1+AX36*$AX$1+AY36*$AY$1+AW36*$AW$1+BA36*$BA$1</f>
        <v>71</v>
      </c>
    </row>
    <row r="37" spans="1:54" hidden="1" x14ac:dyDescent="0.3">
      <c r="A37" s="4"/>
      <c r="B37" s="4" t="s">
        <v>29</v>
      </c>
      <c r="C37" s="4"/>
      <c r="D37" s="15" t="s">
        <v>13</v>
      </c>
      <c r="E37" s="15"/>
      <c r="F37" s="15" t="s">
        <v>138</v>
      </c>
      <c r="G37" s="15">
        <f t="shared" si="0"/>
        <v>2</v>
      </c>
      <c r="H37" s="15">
        <v>2</v>
      </c>
      <c r="I37" s="15"/>
      <c r="J37" s="15" t="s">
        <v>69</v>
      </c>
      <c r="K37" s="15" t="s">
        <v>68</v>
      </c>
      <c r="L37" s="16"/>
      <c r="M37" s="16"/>
      <c r="N37" s="16" t="s">
        <v>115</v>
      </c>
      <c r="O37" s="16"/>
      <c r="P37" s="16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>
        <f>3800*4</f>
        <v>15200</v>
      </c>
      <c r="AS37" s="7"/>
      <c r="AT37" s="28" t="s">
        <v>179</v>
      </c>
      <c r="AU37" s="15" t="s">
        <v>190</v>
      </c>
      <c r="AV37" s="22">
        <v>5</v>
      </c>
      <c r="AW37" s="22">
        <v>5</v>
      </c>
      <c r="AX37" s="22">
        <v>1</v>
      </c>
      <c r="AY37" s="22">
        <v>3</v>
      </c>
      <c r="AZ37" s="22">
        <v>1</v>
      </c>
      <c r="BA37" s="22">
        <v>1</v>
      </c>
      <c r="BB37" s="22">
        <f t="shared" si="3"/>
        <v>71</v>
      </c>
    </row>
    <row r="38" spans="1:54" ht="28.8" hidden="1" x14ac:dyDescent="0.3">
      <c r="A38" s="4"/>
      <c r="B38" s="4" t="s">
        <v>231</v>
      </c>
      <c r="C38" s="4" t="s">
        <v>120</v>
      </c>
      <c r="D38" s="15" t="s">
        <v>15</v>
      </c>
      <c r="E38" s="15" t="s">
        <v>16</v>
      </c>
      <c r="F38" s="15" t="s">
        <v>140</v>
      </c>
      <c r="G38" s="15">
        <f t="shared" si="0"/>
        <v>1</v>
      </c>
      <c r="H38" s="15">
        <v>1</v>
      </c>
      <c r="I38" s="15" t="s">
        <v>113</v>
      </c>
      <c r="J38" s="15" t="s">
        <v>69</v>
      </c>
      <c r="K38" s="15" t="s">
        <v>68</v>
      </c>
      <c r="L38" s="16"/>
      <c r="M38" s="16" t="s">
        <v>115</v>
      </c>
      <c r="N38" s="16"/>
      <c r="O38" s="16"/>
      <c r="P38" s="16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>
        <v>3000</v>
      </c>
      <c r="AS38" s="7"/>
      <c r="AT38" s="28" t="s">
        <v>179</v>
      </c>
      <c r="AU38" s="15"/>
      <c r="AV38" s="22">
        <v>5</v>
      </c>
      <c r="AW38" s="22">
        <v>3</v>
      </c>
      <c r="AX38" s="22">
        <v>1</v>
      </c>
      <c r="AY38" s="22">
        <v>5</v>
      </c>
      <c r="AZ38" s="22">
        <v>3</v>
      </c>
      <c r="BA38" s="22">
        <v>1</v>
      </c>
      <c r="BB38" s="22">
        <f t="shared" si="3"/>
        <v>71</v>
      </c>
    </row>
    <row r="39" spans="1:54" ht="28.8" hidden="1" x14ac:dyDescent="0.3">
      <c r="A39" s="4"/>
      <c r="B39" s="4" t="s">
        <v>77</v>
      </c>
      <c r="C39" s="4" t="s">
        <v>73</v>
      </c>
      <c r="D39" s="15" t="s">
        <v>15</v>
      </c>
      <c r="E39" s="15"/>
      <c r="F39" s="15" t="s">
        <v>138</v>
      </c>
      <c r="G39" s="15">
        <f t="shared" si="0"/>
        <v>2</v>
      </c>
      <c r="H39" s="15">
        <v>2</v>
      </c>
      <c r="I39" s="15" t="s">
        <v>113</v>
      </c>
      <c r="J39" s="15" t="s">
        <v>69</v>
      </c>
      <c r="K39" s="15" t="s">
        <v>68</v>
      </c>
      <c r="L39" s="16"/>
      <c r="M39" s="16" t="s">
        <v>115</v>
      </c>
      <c r="N39" s="16"/>
      <c r="O39" s="16"/>
      <c r="P39" s="16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>
        <v>10000</v>
      </c>
      <c r="AS39" s="7"/>
      <c r="AT39" s="28" t="s">
        <v>179</v>
      </c>
      <c r="AU39" s="15"/>
      <c r="AV39" s="22">
        <v>5</v>
      </c>
      <c r="AW39" s="22">
        <v>3</v>
      </c>
      <c r="AX39" s="22">
        <v>3</v>
      </c>
      <c r="AY39" s="22">
        <v>3</v>
      </c>
      <c r="AZ39" s="22">
        <v>1</v>
      </c>
      <c r="BA39" s="22">
        <v>3</v>
      </c>
      <c r="BB39" s="22">
        <f t="shared" si="3"/>
        <v>71</v>
      </c>
    </row>
    <row r="40" spans="1:54" hidden="1" x14ac:dyDescent="0.3">
      <c r="A40" s="4"/>
      <c r="B40" s="4" t="s">
        <v>233</v>
      </c>
      <c r="C40" s="4"/>
      <c r="D40" s="15" t="s">
        <v>15</v>
      </c>
      <c r="E40" s="15" t="s">
        <v>16</v>
      </c>
      <c r="F40" s="15" t="s">
        <v>138</v>
      </c>
      <c r="G40" s="15">
        <f t="shared" si="0"/>
        <v>2</v>
      </c>
      <c r="H40" s="15">
        <v>2</v>
      </c>
      <c r="I40" s="15" t="s">
        <v>113</v>
      </c>
      <c r="J40" s="15" t="s">
        <v>69</v>
      </c>
      <c r="K40" s="15" t="s">
        <v>68</v>
      </c>
      <c r="L40" s="16" t="s">
        <v>115</v>
      </c>
      <c r="M40" s="16" t="s">
        <v>115</v>
      </c>
      <c r="N40" s="16"/>
      <c r="O40" s="16"/>
      <c r="P40" s="16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>
        <v>10000</v>
      </c>
      <c r="AS40" s="7"/>
      <c r="AT40" s="28" t="s">
        <v>179</v>
      </c>
      <c r="AU40" s="15"/>
      <c r="AV40" s="22">
        <v>5</v>
      </c>
      <c r="AW40" s="22">
        <v>5</v>
      </c>
      <c r="AX40" s="22">
        <v>1</v>
      </c>
      <c r="AY40" s="22">
        <v>3</v>
      </c>
      <c r="AZ40" s="22">
        <v>1</v>
      </c>
      <c r="BA40" s="22">
        <v>1</v>
      </c>
      <c r="BB40" s="22">
        <f t="shared" si="3"/>
        <v>71</v>
      </c>
    </row>
    <row r="41" spans="1:54" hidden="1" x14ac:dyDescent="0.3">
      <c r="A41" s="4"/>
      <c r="B41" s="4" t="s">
        <v>123</v>
      </c>
      <c r="C41" s="4"/>
      <c r="D41" s="15" t="s">
        <v>16</v>
      </c>
      <c r="E41" s="15"/>
      <c r="F41" s="15" t="s">
        <v>138</v>
      </c>
      <c r="G41" s="15">
        <f>IF(F41="S",1,IF(F41="M",2,IF(F41="L",4,0)))</f>
        <v>2</v>
      </c>
      <c r="H41" s="15">
        <v>0</v>
      </c>
      <c r="I41" s="15" t="s">
        <v>111</v>
      </c>
      <c r="J41" s="15"/>
      <c r="K41" s="15" t="s">
        <v>68</v>
      </c>
      <c r="L41" s="16"/>
      <c r="M41" s="16" t="s">
        <v>115</v>
      </c>
      <c r="N41" s="16"/>
      <c r="O41" s="16"/>
      <c r="P41" s="16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>
        <v>12000</v>
      </c>
      <c r="AS41" s="7"/>
      <c r="AT41" s="28" t="s">
        <v>179</v>
      </c>
      <c r="AU41" s="15"/>
      <c r="AV41" s="22">
        <v>5</v>
      </c>
      <c r="AW41" s="22">
        <v>3</v>
      </c>
      <c r="AX41" s="22">
        <v>3</v>
      </c>
      <c r="AY41" s="22">
        <v>3</v>
      </c>
      <c r="AZ41" s="22">
        <v>1</v>
      </c>
      <c r="BA41" s="22">
        <v>1</v>
      </c>
      <c r="BB41" s="22">
        <f>AV41*$AV$1+AZ41*$AZ$1+AX41*$AX$1+AY41*$AY$1+AW41*$AW$1+BA41*$BA$1</f>
        <v>69</v>
      </c>
    </row>
    <row r="42" spans="1:54" hidden="1" x14ac:dyDescent="0.3">
      <c r="A42" s="4"/>
      <c r="B42" s="4" t="s">
        <v>118</v>
      </c>
      <c r="C42" s="4"/>
      <c r="D42" s="15" t="s">
        <v>15</v>
      </c>
      <c r="E42" s="15" t="s">
        <v>108</v>
      </c>
      <c r="F42" s="15" t="s">
        <v>138</v>
      </c>
      <c r="G42" s="15">
        <f t="shared" si="0"/>
        <v>2</v>
      </c>
      <c r="H42" s="15">
        <v>2</v>
      </c>
      <c r="I42" s="15" t="s">
        <v>113</v>
      </c>
      <c r="J42" s="15" t="s">
        <v>69</v>
      </c>
      <c r="K42" s="15" t="s">
        <v>68</v>
      </c>
      <c r="L42" s="16" t="s">
        <v>115</v>
      </c>
      <c r="M42" s="16" t="s">
        <v>115</v>
      </c>
      <c r="N42" s="16"/>
      <c r="O42" s="16"/>
      <c r="P42" s="16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>
        <v>8000</v>
      </c>
      <c r="AS42" s="7"/>
      <c r="AT42" s="28" t="s">
        <v>179</v>
      </c>
      <c r="AU42" s="15"/>
      <c r="AV42" s="22">
        <v>5</v>
      </c>
      <c r="AW42" s="22">
        <v>3</v>
      </c>
      <c r="AX42" s="22">
        <v>1</v>
      </c>
      <c r="AY42" s="22">
        <v>5</v>
      </c>
      <c r="AZ42" s="22">
        <v>1</v>
      </c>
      <c r="BA42" s="22">
        <v>1</v>
      </c>
      <c r="BB42" s="22">
        <f t="shared" si="3"/>
        <v>67</v>
      </c>
    </row>
    <row r="43" spans="1:54" ht="28.8" hidden="1" x14ac:dyDescent="0.3">
      <c r="A43" s="4"/>
      <c r="B43" s="4" t="s">
        <v>22</v>
      </c>
      <c r="C43" s="4"/>
      <c r="D43" s="15" t="s">
        <v>16</v>
      </c>
      <c r="E43" s="15"/>
      <c r="F43" s="15" t="s">
        <v>138</v>
      </c>
      <c r="G43" s="15">
        <f t="shared" si="0"/>
        <v>2</v>
      </c>
      <c r="H43" s="15">
        <v>2</v>
      </c>
      <c r="I43" s="15" t="s">
        <v>111</v>
      </c>
      <c r="J43" s="15"/>
      <c r="K43" s="15" t="s">
        <v>68</v>
      </c>
      <c r="L43" s="16" t="s">
        <v>115</v>
      </c>
      <c r="M43" s="16"/>
      <c r="N43" s="16"/>
      <c r="O43" s="16"/>
      <c r="P43" s="16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>
        <v>12000</v>
      </c>
      <c r="AS43" s="7"/>
      <c r="AT43" s="28" t="s">
        <v>224</v>
      </c>
      <c r="AU43" s="15" t="s">
        <v>170</v>
      </c>
      <c r="AV43" s="22">
        <v>5</v>
      </c>
      <c r="AW43" s="22">
        <v>3</v>
      </c>
      <c r="AX43" s="22">
        <v>1</v>
      </c>
      <c r="AY43" s="22">
        <v>3</v>
      </c>
      <c r="AZ43" s="22">
        <v>3</v>
      </c>
      <c r="BA43" s="22">
        <v>1</v>
      </c>
      <c r="BB43" s="22">
        <f t="shared" si="3"/>
        <v>65</v>
      </c>
    </row>
    <row r="44" spans="1:54" hidden="1" x14ac:dyDescent="0.3">
      <c r="A44" s="4"/>
      <c r="B44" s="4" t="s">
        <v>95</v>
      </c>
      <c r="C44" s="4"/>
      <c r="D44" s="15" t="s">
        <v>14</v>
      </c>
      <c r="E44" s="15" t="s">
        <v>16</v>
      </c>
      <c r="F44" s="15" t="s">
        <v>138</v>
      </c>
      <c r="G44" s="15">
        <f t="shared" si="0"/>
        <v>2</v>
      </c>
      <c r="H44" s="15">
        <v>2</v>
      </c>
      <c r="I44" s="15" t="s">
        <v>112</v>
      </c>
      <c r="J44" s="15" t="s">
        <v>69</v>
      </c>
      <c r="K44" s="15" t="s">
        <v>68</v>
      </c>
      <c r="L44" s="16" t="s">
        <v>115</v>
      </c>
      <c r="M44" s="16"/>
      <c r="N44" s="16"/>
      <c r="O44" s="16"/>
      <c r="P44" s="16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>
        <v>5000</v>
      </c>
      <c r="AS44" s="7"/>
      <c r="AT44" s="28" t="s">
        <v>179</v>
      </c>
      <c r="AU44" s="15"/>
      <c r="AV44" s="22">
        <v>3</v>
      </c>
      <c r="AW44" s="22">
        <v>3</v>
      </c>
      <c r="AX44" s="22">
        <v>1</v>
      </c>
      <c r="AY44" s="22">
        <v>5</v>
      </c>
      <c r="AZ44" s="22">
        <v>5</v>
      </c>
      <c r="BA44" s="22">
        <v>1</v>
      </c>
      <c r="BB44" s="22">
        <f t="shared" si="3"/>
        <v>63</v>
      </c>
    </row>
    <row r="45" spans="1:54" ht="28.8" hidden="1" x14ac:dyDescent="0.3">
      <c r="A45" s="4"/>
      <c r="B45" s="4" t="s">
        <v>74</v>
      </c>
      <c r="C45" s="4" t="s">
        <v>75</v>
      </c>
      <c r="D45" s="15" t="s">
        <v>15</v>
      </c>
      <c r="E45" s="15"/>
      <c r="F45" s="15" t="s">
        <v>138</v>
      </c>
      <c r="G45" s="15">
        <f t="shared" si="0"/>
        <v>2</v>
      </c>
      <c r="H45" s="15">
        <v>2</v>
      </c>
      <c r="I45" s="15" t="s">
        <v>113</v>
      </c>
      <c r="J45" s="15" t="s">
        <v>69</v>
      </c>
      <c r="K45" s="15" t="s">
        <v>68</v>
      </c>
      <c r="L45" s="16"/>
      <c r="M45" s="16" t="s">
        <v>115</v>
      </c>
      <c r="N45" s="16"/>
      <c r="O45" s="16"/>
      <c r="P45" s="16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>
        <v>5000</v>
      </c>
      <c r="AS45" s="7"/>
      <c r="AT45" s="28" t="s">
        <v>179</v>
      </c>
      <c r="AU45" s="15"/>
      <c r="AV45" s="22">
        <v>5</v>
      </c>
      <c r="AW45" s="22">
        <v>1</v>
      </c>
      <c r="AX45" s="22">
        <v>5</v>
      </c>
      <c r="AY45" s="22">
        <v>1</v>
      </c>
      <c r="AZ45" s="22">
        <v>1</v>
      </c>
      <c r="BA45" s="22">
        <v>1</v>
      </c>
      <c r="BB45" s="22">
        <f t="shared" si="3"/>
        <v>61</v>
      </c>
    </row>
    <row r="46" spans="1:54" ht="100.8" hidden="1" x14ac:dyDescent="0.3">
      <c r="A46" s="4"/>
      <c r="B46" s="4" t="s">
        <v>236</v>
      </c>
      <c r="C46" s="4" t="s">
        <v>107</v>
      </c>
      <c r="D46" s="15" t="s">
        <v>19</v>
      </c>
      <c r="E46" s="15"/>
      <c r="F46" s="15" t="s">
        <v>139</v>
      </c>
      <c r="G46" s="15">
        <f t="shared" si="0"/>
        <v>4</v>
      </c>
      <c r="H46" s="15">
        <v>4</v>
      </c>
      <c r="I46" s="15" t="s">
        <v>83</v>
      </c>
      <c r="J46" s="15" t="s">
        <v>69</v>
      </c>
      <c r="K46" s="15" t="s">
        <v>68</v>
      </c>
      <c r="L46" s="16" t="s">
        <v>115</v>
      </c>
      <c r="M46" s="16"/>
      <c r="N46" s="16"/>
      <c r="O46" s="16"/>
      <c r="P46" s="16" t="s">
        <v>115</v>
      </c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>
        <v>15000</v>
      </c>
      <c r="AS46" s="7"/>
      <c r="AT46" s="28" t="s">
        <v>179</v>
      </c>
      <c r="AU46" s="15"/>
      <c r="AV46" s="22">
        <v>5</v>
      </c>
      <c r="AW46" s="22">
        <v>1</v>
      </c>
      <c r="AX46" s="22">
        <v>5</v>
      </c>
      <c r="AY46" s="22">
        <v>1</v>
      </c>
      <c r="AZ46" s="22">
        <v>1</v>
      </c>
      <c r="BA46" s="22">
        <v>1</v>
      </c>
      <c r="BB46" s="22">
        <f t="shared" si="3"/>
        <v>61</v>
      </c>
    </row>
    <row r="47" spans="1:54" ht="28.8" hidden="1" x14ac:dyDescent="0.3">
      <c r="A47" s="4"/>
      <c r="B47" s="4" t="s">
        <v>81</v>
      </c>
      <c r="C47" s="4" t="s">
        <v>86</v>
      </c>
      <c r="D47" s="15" t="s">
        <v>19</v>
      </c>
      <c r="E47" s="15"/>
      <c r="F47" s="15" t="s">
        <v>138</v>
      </c>
      <c r="G47" s="15">
        <f t="shared" si="0"/>
        <v>2</v>
      </c>
      <c r="H47" s="15">
        <v>2</v>
      </c>
      <c r="I47" s="15" t="s">
        <v>83</v>
      </c>
      <c r="J47" s="15" t="s">
        <v>69</v>
      </c>
      <c r="K47" s="15" t="s">
        <v>68</v>
      </c>
      <c r="L47" s="16" t="s">
        <v>115</v>
      </c>
      <c r="M47" s="16"/>
      <c r="N47" s="16"/>
      <c r="O47" s="16"/>
      <c r="P47" s="16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>
        <v>15000</v>
      </c>
      <c r="AS47" s="7"/>
      <c r="AT47" s="28" t="s">
        <v>179</v>
      </c>
      <c r="AU47" s="15"/>
      <c r="AV47" s="22">
        <v>5</v>
      </c>
      <c r="AW47" s="22">
        <v>1</v>
      </c>
      <c r="AX47" s="22">
        <v>3</v>
      </c>
      <c r="AY47" s="22">
        <v>3</v>
      </c>
      <c r="AZ47" s="22">
        <v>1</v>
      </c>
      <c r="BA47" s="22">
        <v>1</v>
      </c>
      <c r="BB47" s="22">
        <f t="shared" si="3"/>
        <v>59</v>
      </c>
    </row>
    <row r="48" spans="1:54" hidden="1" x14ac:dyDescent="0.3">
      <c r="A48" s="4"/>
      <c r="B48" s="4" t="s">
        <v>152</v>
      </c>
      <c r="C48" s="4"/>
      <c r="D48" s="15" t="s">
        <v>14</v>
      </c>
      <c r="E48" s="15"/>
      <c r="F48" s="15" t="s">
        <v>139</v>
      </c>
      <c r="G48" s="15">
        <f t="shared" si="0"/>
        <v>4</v>
      </c>
      <c r="H48" s="15">
        <v>4</v>
      </c>
      <c r="I48" s="15" t="s">
        <v>112</v>
      </c>
      <c r="J48" s="15" t="s">
        <v>69</v>
      </c>
      <c r="K48" s="15" t="s">
        <v>68</v>
      </c>
      <c r="L48" s="16" t="s">
        <v>115</v>
      </c>
      <c r="M48" s="16" t="s">
        <v>115</v>
      </c>
      <c r="N48" s="16"/>
      <c r="O48" s="16" t="s">
        <v>115</v>
      </c>
      <c r="P48" s="16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>
        <v>6000</v>
      </c>
      <c r="AS48" s="7"/>
      <c r="AT48" s="28" t="s">
        <v>179</v>
      </c>
      <c r="AU48" s="15"/>
      <c r="AV48" s="22">
        <v>5</v>
      </c>
      <c r="AW48" s="22">
        <v>1</v>
      </c>
      <c r="AX48" s="22">
        <v>1</v>
      </c>
      <c r="AY48" s="22">
        <v>5</v>
      </c>
      <c r="AZ48" s="22">
        <v>1</v>
      </c>
      <c r="BA48" s="22">
        <v>1</v>
      </c>
      <c r="BB48" s="22">
        <f t="shared" si="3"/>
        <v>57</v>
      </c>
    </row>
    <row r="49" spans="1:54" ht="28.8" hidden="1" x14ac:dyDescent="0.3">
      <c r="A49" s="4"/>
      <c r="B49" s="4" t="s">
        <v>99</v>
      </c>
      <c r="C49" s="4" t="s">
        <v>100</v>
      </c>
      <c r="D49" s="15" t="s">
        <v>14</v>
      </c>
      <c r="E49" s="15"/>
      <c r="F49" s="15" t="s">
        <v>140</v>
      </c>
      <c r="G49" s="15">
        <f t="shared" si="0"/>
        <v>1</v>
      </c>
      <c r="H49" s="15">
        <v>1</v>
      </c>
      <c r="I49" s="15" t="s">
        <v>112</v>
      </c>
      <c r="J49" s="15" t="s">
        <v>69</v>
      </c>
      <c r="K49" s="15" t="s">
        <v>68</v>
      </c>
      <c r="L49" s="16" t="s">
        <v>115</v>
      </c>
      <c r="M49" s="16"/>
      <c r="N49" s="16"/>
      <c r="O49" s="16"/>
      <c r="P49" s="16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>
        <v>8000</v>
      </c>
      <c r="AS49" s="7"/>
      <c r="AT49" s="28" t="s">
        <v>179</v>
      </c>
      <c r="AU49" s="15"/>
      <c r="AV49" s="22">
        <v>5</v>
      </c>
      <c r="AW49" s="22">
        <v>3</v>
      </c>
      <c r="AX49" s="22">
        <v>1</v>
      </c>
      <c r="AY49" s="22">
        <v>1</v>
      </c>
      <c r="AZ49" s="22">
        <v>1</v>
      </c>
      <c r="BA49" s="22">
        <v>1</v>
      </c>
      <c r="BB49" s="22">
        <f t="shared" si="3"/>
        <v>55</v>
      </c>
    </row>
    <row r="50" spans="1:54" hidden="1" x14ac:dyDescent="0.3">
      <c r="A50" s="4"/>
      <c r="B50" s="4" t="s">
        <v>102</v>
      </c>
      <c r="C50" s="4"/>
      <c r="D50" s="15" t="s">
        <v>14</v>
      </c>
      <c r="E50" s="15"/>
      <c r="F50" s="15" t="s">
        <v>139</v>
      </c>
      <c r="G50" s="15">
        <f t="shared" si="0"/>
        <v>4</v>
      </c>
      <c r="H50" s="15">
        <v>4</v>
      </c>
      <c r="I50" s="15" t="s">
        <v>112</v>
      </c>
      <c r="J50" s="15" t="s">
        <v>69</v>
      </c>
      <c r="K50" s="15" t="s">
        <v>68</v>
      </c>
      <c r="L50" s="16" t="s">
        <v>115</v>
      </c>
      <c r="M50" s="16" t="s">
        <v>115</v>
      </c>
      <c r="N50" s="16"/>
      <c r="O50" s="16"/>
      <c r="P50" s="16" t="s">
        <v>115</v>
      </c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>
        <v>8000</v>
      </c>
      <c r="AS50" s="7"/>
      <c r="AT50" s="28" t="s">
        <v>179</v>
      </c>
      <c r="AU50" s="15"/>
      <c r="AV50" s="22">
        <v>5</v>
      </c>
      <c r="AW50" s="22">
        <v>3</v>
      </c>
      <c r="AX50" s="22">
        <v>1</v>
      </c>
      <c r="AY50" s="22">
        <v>1</v>
      </c>
      <c r="AZ50" s="22">
        <v>1</v>
      </c>
      <c r="BA50" s="22">
        <v>1</v>
      </c>
      <c r="BB50" s="22">
        <f t="shared" si="3"/>
        <v>55</v>
      </c>
    </row>
    <row r="51" spans="1:54" ht="57.6" hidden="1" x14ac:dyDescent="0.3">
      <c r="A51" s="4"/>
      <c r="B51" s="4" t="s">
        <v>177</v>
      </c>
      <c r="C51" s="4" t="s">
        <v>176</v>
      </c>
      <c r="D51" s="15" t="s">
        <v>36</v>
      </c>
      <c r="E51" s="15"/>
      <c r="F51" s="15" t="s">
        <v>138</v>
      </c>
      <c r="G51" s="15">
        <f t="shared" si="0"/>
        <v>2</v>
      </c>
      <c r="H51" s="15">
        <v>2</v>
      </c>
      <c r="I51" s="15" t="s">
        <v>178</v>
      </c>
      <c r="J51" s="15" t="s">
        <v>69</v>
      </c>
      <c r="K51" s="15" t="s">
        <v>68</v>
      </c>
      <c r="L51" s="16"/>
      <c r="M51" s="16"/>
      <c r="N51" s="16" t="s">
        <v>115</v>
      </c>
      <c r="O51" s="16"/>
      <c r="P51" s="16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>
        <v>10000</v>
      </c>
      <c r="AS51" s="7"/>
      <c r="AT51" s="28" t="s">
        <v>179</v>
      </c>
      <c r="AU51" s="15"/>
      <c r="AV51" s="22">
        <v>5</v>
      </c>
      <c r="AW51" s="22">
        <v>3</v>
      </c>
      <c r="AX51" s="22">
        <v>1</v>
      </c>
      <c r="AY51" s="22">
        <v>1</v>
      </c>
      <c r="AZ51" s="22">
        <v>1</v>
      </c>
      <c r="BA51" s="22">
        <v>1</v>
      </c>
      <c r="BB51" s="22">
        <f t="shared" si="3"/>
        <v>55</v>
      </c>
    </row>
    <row r="52" spans="1:54" hidden="1" x14ac:dyDescent="0.3">
      <c r="A52" s="4"/>
      <c r="B52" s="4" t="s">
        <v>80</v>
      </c>
      <c r="C52" s="4" t="s">
        <v>90</v>
      </c>
      <c r="D52" s="15" t="s">
        <v>19</v>
      </c>
      <c r="E52" s="15" t="s">
        <v>16</v>
      </c>
      <c r="F52" s="15" t="s">
        <v>138</v>
      </c>
      <c r="G52" s="15">
        <f t="shared" si="0"/>
        <v>2</v>
      </c>
      <c r="H52" s="15">
        <v>2</v>
      </c>
      <c r="I52" s="15" t="s">
        <v>83</v>
      </c>
      <c r="J52" s="15" t="s">
        <v>69</v>
      </c>
      <c r="K52" s="15" t="s">
        <v>68</v>
      </c>
      <c r="L52" s="16" t="s">
        <v>115</v>
      </c>
      <c r="M52" s="16"/>
      <c r="N52" s="16"/>
      <c r="O52" s="16"/>
      <c r="P52" s="16" t="s">
        <v>115</v>
      </c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>
        <v>10000</v>
      </c>
      <c r="AS52" s="7"/>
      <c r="AT52" s="28" t="s">
        <v>179</v>
      </c>
      <c r="AU52" s="15"/>
      <c r="AV52" s="22">
        <v>5</v>
      </c>
      <c r="AW52" s="22">
        <v>1</v>
      </c>
      <c r="AX52" s="22">
        <v>3</v>
      </c>
      <c r="AY52" s="22">
        <v>1</v>
      </c>
      <c r="AZ52" s="22">
        <v>1</v>
      </c>
      <c r="BA52" s="22">
        <v>1</v>
      </c>
      <c r="BB52" s="22">
        <f t="shared" si="3"/>
        <v>53</v>
      </c>
    </row>
    <row r="53" spans="1:54" ht="28.8" hidden="1" x14ac:dyDescent="0.3">
      <c r="A53" s="4"/>
      <c r="B53" s="4" t="s">
        <v>232</v>
      </c>
      <c r="C53" s="4" t="s">
        <v>87</v>
      </c>
      <c r="D53" s="15" t="s">
        <v>19</v>
      </c>
      <c r="E53" s="15"/>
      <c r="F53" s="15" t="s">
        <v>138</v>
      </c>
      <c r="G53" s="15">
        <f t="shared" si="0"/>
        <v>2</v>
      </c>
      <c r="H53" s="15">
        <v>2</v>
      </c>
      <c r="I53" s="15" t="s">
        <v>83</v>
      </c>
      <c r="J53" s="15" t="s">
        <v>69</v>
      </c>
      <c r="K53" s="15" t="s">
        <v>68</v>
      </c>
      <c r="L53" s="16" t="s">
        <v>115</v>
      </c>
      <c r="M53" s="16"/>
      <c r="N53" s="16"/>
      <c r="O53" s="16"/>
      <c r="P53" s="16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>
        <v>7000</v>
      </c>
      <c r="AS53" s="7"/>
      <c r="AT53" s="28" t="s">
        <v>179</v>
      </c>
      <c r="AU53" s="15"/>
      <c r="AV53" s="22">
        <v>5</v>
      </c>
      <c r="AW53" s="22">
        <v>1</v>
      </c>
      <c r="AX53" s="22">
        <v>3</v>
      </c>
      <c r="AY53" s="22">
        <v>1</v>
      </c>
      <c r="AZ53" s="22">
        <v>1</v>
      </c>
      <c r="BA53" s="22">
        <v>1</v>
      </c>
      <c r="BB53" s="22">
        <f t="shared" si="3"/>
        <v>53</v>
      </c>
    </row>
    <row r="54" spans="1:54" hidden="1" x14ac:dyDescent="0.3">
      <c r="A54" s="4"/>
      <c r="B54" s="4" t="s">
        <v>94</v>
      </c>
      <c r="C54" s="4"/>
      <c r="D54" s="15" t="s">
        <v>16</v>
      </c>
      <c r="E54" s="15"/>
      <c r="F54" s="15" t="s">
        <v>139</v>
      </c>
      <c r="G54" s="15">
        <f t="shared" si="0"/>
        <v>4</v>
      </c>
      <c r="H54" s="15">
        <v>4</v>
      </c>
      <c r="I54" s="15" t="s">
        <v>111</v>
      </c>
      <c r="J54" s="15"/>
      <c r="K54" s="15" t="s">
        <v>68</v>
      </c>
      <c r="L54" s="16"/>
      <c r="M54" s="16"/>
      <c r="N54" s="16"/>
      <c r="O54" s="16"/>
      <c r="P54" s="16" t="s">
        <v>115</v>
      </c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>
        <v>12000</v>
      </c>
      <c r="AS54" s="7"/>
      <c r="AT54" s="28" t="s">
        <v>179</v>
      </c>
      <c r="AU54" s="15"/>
      <c r="AV54" s="22">
        <v>5</v>
      </c>
      <c r="AW54" s="22">
        <v>1</v>
      </c>
      <c r="AX54" s="22">
        <v>1</v>
      </c>
      <c r="AY54" s="22">
        <v>3</v>
      </c>
      <c r="AZ54" s="22">
        <v>1</v>
      </c>
      <c r="BA54" s="22">
        <v>1</v>
      </c>
      <c r="BB54" s="22">
        <f t="shared" si="3"/>
        <v>51</v>
      </c>
    </row>
    <row r="55" spans="1:54" hidden="1" x14ac:dyDescent="0.3">
      <c r="A55" s="4"/>
      <c r="B55" s="4" t="s">
        <v>121</v>
      </c>
      <c r="C55" s="4"/>
      <c r="D55" s="15" t="s">
        <v>97</v>
      </c>
      <c r="E55" s="15"/>
      <c r="F55" s="15" t="s">
        <v>140</v>
      </c>
      <c r="G55" s="15">
        <f t="shared" si="0"/>
        <v>1</v>
      </c>
      <c r="H55" s="15">
        <v>1</v>
      </c>
      <c r="I55" s="15"/>
      <c r="J55" s="15" t="s">
        <v>69</v>
      </c>
      <c r="K55" s="15" t="s">
        <v>68</v>
      </c>
      <c r="L55" s="16" t="s">
        <v>115</v>
      </c>
      <c r="M55" s="16"/>
      <c r="N55" s="16"/>
      <c r="O55" s="16"/>
      <c r="P55" s="16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>
        <v>5000</v>
      </c>
      <c r="AS55" s="7"/>
      <c r="AT55" s="28" t="s">
        <v>179</v>
      </c>
      <c r="AU55" s="15"/>
      <c r="AV55" s="22">
        <v>3</v>
      </c>
      <c r="AW55" s="22">
        <v>3</v>
      </c>
      <c r="AX55" s="22">
        <v>1</v>
      </c>
      <c r="AY55" s="22">
        <v>3</v>
      </c>
      <c r="AZ55" s="22">
        <v>1</v>
      </c>
      <c r="BA55" s="22">
        <v>1</v>
      </c>
      <c r="BB55" s="22">
        <f t="shared" si="3"/>
        <v>49</v>
      </c>
    </row>
    <row r="56" spans="1:54" ht="28.8" hidden="1" x14ac:dyDescent="0.3">
      <c r="A56" s="4"/>
      <c r="B56" s="4" t="s">
        <v>101</v>
      </c>
      <c r="C56" s="4"/>
      <c r="D56" s="15" t="s">
        <v>14</v>
      </c>
      <c r="E56" s="15"/>
      <c r="F56" s="15" t="s">
        <v>140</v>
      </c>
      <c r="G56" s="15">
        <f t="shared" si="0"/>
        <v>1</v>
      </c>
      <c r="H56" s="15">
        <v>1</v>
      </c>
      <c r="I56" s="15" t="s">
        <v>112</v>
      </c>
      <c r="J56" s="15" t="s">
        <v>69</v>
      </c>
      <c r="K56" s="15" t="s">
        <v>68</v>
      </c>
      <c r="L56" s="16" t="s">
        <v>115</v>
      </c>
      <c r="M56" s="16"/>
      <c r="N56" s="16"/>
      <c r="O56" s="16"/>
      <c r="P56" s="16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>
        <v>4000</v>
      </c>
      <c r="AS56" s="7"/>
      <c r="AT56" s="28" t="s">
        <v>179</v>
      </c>
      <c r="AU56" s="15"/>
      <c r="AV56" s="22">
        <v>5</v>
      </c>
      <c r="AW56" s="22">
        <v>1</v>
      </c>
      <c r="AX56" s="22">
        <v>1</v>
      </c>
      <c r="AY56" s="22">
        <v>1</v>
      </c>
      <c r="AZ56" s="22">
        <v>1</v>
      </c>
      <c r="BA56" s="22">
        <v>1</v>
      </c>
      <c r="BB56" s="22">
        <f t="shared" si="3"/>
        <v>45</v>
      </c>
    </row>
    <row r="57" spans="1:54" hidden="1" x14ac:dyDescent="0.3">
      <c r="A57" s="4"/>
      <c r="B57" s="4" t="s">
        <v>96</v>
      </c>
      <c r="C57" s="4"/>
      <c r="D57" s="15" t="s">
        <v>97</v>
      </c>
      <c r="E57" s="15"/>
      <c r="F57" s="15" t="s">
        <v>139</v>
      </c>
      <c r="G57" s="15">
        <f t="shared" si="0"/>
        <v>4</v>
      </c>
      <c r="H57" s="15">
        <v>4</v>
      </c>
      <c r="I57" s="15"/>
      <c r="J57" s="15" t="s">
        <v>69</v>
      </c>
      <c r="K57" s="15" t="s">
        <v>68</v>
      </c>
      <c r="L57" s="16" t="s">
        <v>115</v>
      </c>
      <c r="M57" s="16"/>
      <c r="N57" s="16"/>
      <c r="O57" s="16"/>
      <c r="P57" s="16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>
        <v>16000</v>
      </c>
      <c r="AS57" s="7"/>
      <c r="AT57" s="28" t="s">
        <v>179</v>
      </c>
      <c r="AU57" s="15"/>
      <c r="AV57" s="22">
        <v>5</v>
      </c>
      <c r="AW57" s="22">
        <v>1</v>
      </c>
      <c r="AX57" s="22">
        <v>1</v>
      </c>
      <c r="AY57" s="22">
        <v>1</v>
      </c>
      <c r="AZ57" s="22">
        <v>1</v>
      </c>
      <c r="BA57" s="22">
        <v>1</v>
      </c>
      <c r="BB57" s="22">
        <f t="shared" si="3"/>
        <v>45</v>
      </c>
    </row>
    <row r="58" spans="1:54" hidden="1" x14ac:dyDescent="0.3">
      <c r="A58" s="4"/>
      <c r="B58" s="4" t="s">
        <v>122</v>
      </c>
      <c r="C58" s="4"/>
      <c r="D58" s="15" t="s">
        <v>33</v>
      </c>
      <c r="E58" s="15"/>
      <c r="F58" s="15" t="s">
        <v>138</v>
      </c>
      <c r="G58" s="15">
        <f>IF(F58="S",1,IF(F58="M",2,IF(F58="L",4,0)))</f>
        <v>2</v>
      </c>
      <c r="H58" s="15">
        <v>2</v>
      </c>
      <c r="I58" s="15" t="s">
        <v>128</v>
      </c>
      <c r="J58" s="15" t="s">
        <v>69</v>
      </c>
      <c r="K58" s="15" t="s">
        <v>68</v>
      </c>
      <c r="L58" s="16" t="s">
        <v>115</v>
      </c>
      <c r="M58" s="16"/>
      <c r="N58" s="16" t="s">
        <v>115</v>
      </c>
      <c r="O58" s="16"/>
      <c r="P58" s="16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>
        <v>10000</v>
      </c>
      <c r="AS58" s="7"/>
      <c r="AT58" s="28" t="s">
        <v>179</v>
      </c>
      <c r="AU58" s="15"/>
      <c r="AV58" s="22">
        <v>3</v>
      </c>
      <c r="AW58" s="22">
        <v>1</v>
      </c>
      <c r="AX58" s="22">
        <v>3</v>
      </c>
      <c r="AY58" s="22">
        <v>1</v>
      </c>
      <c r="AZ58" s="22">
        <v>1</v>
      </c>
      <c r="BA58" s="22">
        <v>1</v>
      </c>
      <c r="BB58" s="22">
        <f>AV58*$AV$1+AZ58*$AZ$1+AX58*$AX$1+AY58*$AY$1+AW58*$AW$1+BA58*$BA$1</f>
        <v>41</v>
      </c>
    </row>
    <row r="59" spans="1:54" hidden="1" x14ac:dyDescent="0.3">
      <c r="A59" s="4"/>
      <c r="B59" s="4" t="s">
        <v>189</v>
      </c>
      <c r="C59" s="4"/>
      <c r="D59" s="15" t="s">
        <v>33</v>
      </c>
      <c r="E59" s="15"/>
      <c r="F59" s="15" t="s">
        <v>138</v>
      </c>
      <c r="G59" s="15">
        <f>IF(F59="S",1,IF(F59="M",2,IF(F59="L",4,0)))</f>
        <v>2</v>
      </c>
      <c r="H59" s="15">
        <v>2</v>
      </c>
      <c r="I59" s="15" t="s">
        <v>128</v>
      </c>
      <c r="J59" s="15" t="s">
        <v>69</v>
      </c>
      <c r="K59" s="15" t="s">
        <v>68</v>
      </c>
      <c r="L59" s="16"/>
      <c r="M59" s="16"/>
      <c r="N59" s="16"/>
      <c r="O59" s="16" t="s">
        <v>115</v>
      </c>
      <c r="P59" s="16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>
        <f>2500*4</f>
        <v>10000</v>
      </c>
      <c r="AS59" s="7"/>
      <c r="AT59" s="28" t="s">
        <v>179</v>
      </c>
      <c r="AU59" s="15" t="s">
        <v>190</v>
      </c>
      <c r="AV59" s="22">
        <v>1</v>
      </c>
      <c r="AW59" s="22">
        <v>1</v>
      </c>
      <c r="AX59" s="22">
        <v>1</v>
      </c>
      <c r="AY59" s="22">
        <v>3</v>
      </c>
      <c r="AZ59" s="22">
        <v>1</v>
      </c>
      <c r="BA59" s="22">
        <v>5</v>
      </c>
      <c r="BB59" s="22">
        <f>AV59*$AV$1+AZ59*$AZ$1+AX59*$AX$1+AY59*$AY$1+AW59*$AW$1+BA59*$BA$1</f>
        <v>31</v>
      </c>
    </row>
    <row r="60" spans="1:54" ht="28.8" hidden="1" x14ac:dyDescent="0.3">
      <c r="A60" s="4"/>
      <c r="B60" s="4" t="s">
        <v>304</v>
      </c>
      <c r="C60" s="4" t="s">
        <v>305</v>
      </c>
      <c r="D60" s="15" t="s">
        <v>27</v>
      </c>
      <c r="E60" s="15"/>
      <c r="F60" s="15"/>
      <c r="G60" s="15"/>
      <c r="H60" s="15"/>
      <c r="I60" s="15"/>
      <c r="J60" s="15"/>
      <c r="K60" s="15"/>
      <c r="L60" s="16"/>
      <c r="M60" s="16"/>
      <c r="N60" s="16"/>
      <c r="O60" s="16"/>
      <c r="P60" s="16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28" t="s">
        <v>179</v>
      </c>
      <c r="AU60" s="15"/>
      <c r="AV60" s="22"/>
      <c r="AW60" s="22"/>
      <c r="AX60" s="22"/>
      <c r="AY60" s="22"/>
      <c r="AZ60" s="22"/>
      <c r="BA60" s="22"/>
      <c r="BB60" s="22"/>
    </row>
    <row r="61" spans="1:54" ht="28.8" hidden="1" x14ac:dyDescent="0.3">
      <c r="A61" s="4"/>
      <c r="B61" s="4" t="s">
        <v>307</v>
      </c>
      <c r="C61" s="4"/>
      <c r="D61" s="15" t="s">
        <v>97</v>
      </c>
      <c r="E61" s="15"/>
      <c r="F61" s="15"/>
      <c r="G61" s="15"/>
      <c r="H61" s="15"/>
      <c r="I61" s="15"/>
      <c r="J61" s="15"/>
      <c r="K61" s="15"/>
      <c r="L61" s="16"/>
      <c r="M61" s="16"/>
      <c r="N61" s="16"/>
      <c r="O61" s="16"/>
      <c r="P61" s="16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28" t="s">
        <v>179</v>
      </c>
      <c r="AU61" s="15"/>
      <c r="AV61" s="22"/>
      <c r="AW61" s="22"/>
      <c r="AX61" s="22"/>
      <c r="AY61" s="22"/>
      <c r="AZ61" s="22"/>
      <c r="BA61" s="22"/>
      <c r="BB61" s="22"/>
    </row>
    <row r="62" spans="1:54" ht="43.2" hidden="1" x14ac:dyDescent="0.3">
      <c r="A62" s="4"/>
      <c r="B62" s="4" t="s">
        <v>309</v>
      </c>
      <c r="C62" s="4" t="s">
        <v>310</v>
      </c>
      <c r="D62" s="15" t="s">
        <v>14</v>
      </c>
      <c r="E62" s="15"/>
      <c r="F62" s="15"/>
      <c r="G62" s="15"/>
      <c r="H62" s="15"/>
      <c r="I62" s="15"/>
      <c r="J62" s="15"/>
      <c r="K62" s="15"/>
      <c r="L62" s="16"/>
      <c r="M62" s="16"/>
      <c r="N62" s="16"/>
      <c r="O62" s="16"/>
      <c r="P62" s="16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28" t="s">
        <v>179</v>
      </c>
      <c r="AU62" s="15"/>
      <c r="AV62" s="22"/>
      <c r="AW62" s="22"/>
      <c r="AX62" s="22"/>
      <c r="AY62" s="22"/>
      <c r="AZ62" s="22"/>
      <c r="BA62" s="22"/>
      <c r="BB62" s="22"/>
    </row>
    <row r="63" spans="1:54" ht="28.8" hidden="1" x14ac:dyDescent="0.3">
      <c r="A63" s="4"/>
      <c r="B63" s="4" t="s">
        <v>311</v>
      </c>
      <c r="C63" s="4" t="s">
        <v>312</v>
      </c>
      <c r="D63" s="15" t="s">
        <v>33</v>
      </c>
      <c r="E63" s="15"/>
      <c r="F63" s="15"/>
      <c r="G63" s="15"/>
      <c r="H63" s="15"/>
      <c r="I63" s="15"/>
      <c r="J63" s="15"/>
      <c r="K63" s="15"/>
      <c r="L63" s="16"/>
      <c r="M63" s="16"/>
      <c r="N63" s="16"/>
      <c r="O63" s="16"/>
      <c r="P63" s="16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28" t="s">
        <v>179</v>
      </c>
      <c r="AU63" s="15"/>
      <c r="AV63" s="22"/>
      <c r="AW63" s="22"/>
      <c r="AX63" s="22"/>
      <c r="AY63" s="22"/>
      <c r="AZ63" s="22"/>
      <c r="BA63" s="22"/>
      <c r="BB63" s="22"/>
    </row>
    <row r="64" spans="1:54" x14ac:dyDescent="0.3">
      <c r="A64" s="4"/>
      <c r="B64" s="4"/>
      <c r="C64" s="4"/>
      <c r="D64" s="15"/>
      <c r="E64" s="15"/>
      <c r="F64" s="15"/>
      <c r="G64" s="15"/>
      <c r="H64" s="15"/>
      <c r="I64" s="15"/>
      <c r="J64" s="15"/>
      <c r="K64" s="15"/>
      <c r="L64" s="16"/>
      <c r="M64" s="16"/>
      <c r="N64" s="16"/>
      <c r="O64" s="16"/>
      <c r="P64" s="16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28"/>
      <c r="AU64" s="15"/>
      <c r="AV64" s="22"/>
      <c r="AW64" s="22"/>
      <c r="AX64" s="22"/>
      <c r="AY64" s="22"/>
      <c r="AZ64" s="22"/>
      <c r="BA64" s="22"/>
      <c r="BB64" s="22"/>
    </row>
    <row r="65" spans="1:54" ht="28.8" x14ac:dyDescent="0.3">
      <c r="A65" s="4"/>
      <c r="B65" s="4" t="s">
        <v>306</v>
      </c>
      <c r="C65" s="4"/>
      <c r="D65" s="15" t="s">
        <v>27</v>
      </c>
      <c r="E65" s="15"/>
      <c r="F65" s="15"/>
      <c r="G65" s="15"/>
      <c r="H65" s="15"/>
      <c r="I65" s="15"/>
      <c r="J65" s="15"/>
      <c r="K65" s="15"/>
      <c r="L65" s="16"/>
      <c r="M65" s="16"/>
      <c r="N65" s="16"/>
      <c r="O65" s="16"/>
      <c r="P65" s="16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28" t="s">
        <v>179</v>
      </c>
      <c r="AU65" s="15"/>
      <c r="AV65" s="22"/>
      <c r="AW65" s="22"/>
      <c r="AX65" s="22"/>
      <c r="AY65" s="22"/>
      <c r="AZ65" s="22"/>
      <c r="BA65" s="22"/>
      <c r="BB65" s="22"/>
    </row>
    <row r="66" spans="1:54" ht="15" hidden="1" customHeight="1" x14ac:dyDescent="0.3"/>
    <row r="67" spans="1:54" x14ac:dyDescent="0.3">
      <c r="G67" s="10">
        <f>SUBTOTAL(9,G3:G65)</f>
        <v>44</v>
      </c>
      <c r="H67" s="10">
        <f>SUBTOTAL(9,H3:H65)</f>
        <v>39</v>
      </c>
      <c r="P67" s="35" t="s">
        <v>260</v>
      </c>
      <c r="AE67" s="34">
        <f t="shared" ref="AE67:AP67" si="4">SUBTOTAL(9,AE3:AE65)</f>
        <v>18000</v>
      </c>
      <c r="AF67" s="34">
        <f t="shared" si="4"/>
        <v>19500</v>
      </c>
      <c r="AG67" s="34">
        <f t="shared" si="4"/>
        <v>26250</v>
      </c>
      <c r="AH67" s="34">
        <f t="shared" si="4"/>
        <v>27187.5</v>
      </c>
      <c r="AI67" s="34">
        <f t="shared" si="4"/>
        <v>38175</v>
      </c>
      <c r="AJ67" s="34">
        <f t="shared" si="4"/>
        <v>20975</v>
      </c>
      <c r="AK67" s="34">
        <f t="shared" si="4"/>
        <v>34475</v>
      </c>
      <c r="AL67" s="34">
        <f t="shared" si="4"/>
        <v>34237.5</v>
      </c>
      <c r="AM67" s="34">
        <f t="shared" si="4"/>
        <v>12800</v>
      </c>
      <c r="AN67" s="34">
        <f t="shared" si="4"/>
        <v>7400</v>
      </c>
      <c r="AO67" s="34">
        <f t="shared" si="4"/>
        <v>5000</v>
      </c>
      <c r="AP67" s="34">
        <f t="shared" si="4"/>
        <v>0</v>
      </c>
      <c r="AR67" s="66">
        <f>SUBTOTAL(9,AR3:AR65)</f>
        <v>256000</v>
      </c>
    </row>
    <row r="68" spans="1:54" x14ac:dyDescent="0.3">
      <c r="P68" s="35" t="s">
        <v>258</v>
      </c>
      <c r="AE68" s="34">
        <f>AE67*18%</f>
        <v>3240</v>
      </c>
      <c r="AF68" s="34">
        <f t="shared" ref="AF68:AR68" si="5">AF67*18%</f>
        <v>3510</v>
      </c>
      <c r="AG68" s="34">
        <f t="shared" si="5"/>
        <v>4725</v>
      </c>
      <c r="AH68" s="34">
        <f t="shared" si="5"/>
        <v>4893.75</v>
      </c>
      <c r="AI68" s="34">
        <f t="shared" si="5"/>
        <v>6871.5</v>
      </c>
      <c r="AJ68" s="34">
        <f t="shared" si="5"/>
        <v>3775.5</v>
      </c>
      <c r="AK68" s="34">
        <f t="shared" si="5"/>
        <v>6205.5</v>
      </c>
      <c r="AL68" s="34">
        <f t="shared" si="5"/>
        <v>6162.75</v>
      </c>
      <c r="AM68" s="34">
        <f t="shared" si="5"/>
        <v>2304</v>
      </c>
      <c r="AN68" s="34">
        <f t="shared" si="5"/>
        <v>1332</v>
      </c>
      <c r="AO68" s="34">
        <f t="shared" si="5"/>
        <v>900</v>
      </c>
      <c r="AP68" s="34">
        <f t="shared" si="5"/>
        <v>0</v>
      </c>
      <c r="AR68" s="34">
        <f t="shared" si="5"/>
        <v>46080</v>
      </c>
    </row>
    <row r="69" spans="1:54" x14ac:dyDescent="0.3">
      <c r="P69" s="35" t="s">
        <v>259</v>
      </c>
      <c r="AE69" s="34">
        <f>AE67+AE68</f>
        <v>21240</v>
      </c>
      <c r="AF69" s="34">
        <f t="shared" ref="AF69:AR69" si="6">AF67+AF68</f>
        <v>23010</v>
      </c>
      <c r="AG69" s="34">
        <f t="shared" si="6"/>
        <v>30975</v>
      </c>
      <c r="AH69" s="34">
        <f t="shared" si="6"/>
        <v>32081.25</v>
      </c>
      <c r="AI69" s="34">
        <f t="shared" si="6"/>
        <v>45046.5</v>
      </c>
      <c r="AJ69" s="34">
        <f t="shared" si="6"/>
        <v>24750.5</v>
      </c>
      <c r="AK69" s="34">
        <f t="shared" si="6"/>
        <v>40680.5</v>
      </c>
      <c r="AL69" s="34">
        <f t="shared" si="6"/>
        <v>40400.25</v>
      </c>
      <c r="AM69" s="34">
        <f t="shared" si="6"/>
        <v>15104</v>
      </c>
      <c r="AN69" s="34">
        <f t="shared" si="6"/>
        <v>8732</v>
      </c>
      <c r="AO69" s="34">
        <f t="shared" si="6"/>
        <v>5900</v>
      </c>
      <c r="AP69" s="34">
        <f t="shared" si="6"/>
        <v>0</v>
      </c>
      <c r="AR69" s="34">
        <f t="shared" si="6"/>
        <v>302080</v>
      </c>
    </row>
    <row r="72" spans="1:54" x14ac:dyDescent="0.3">
      <c r="A72" s="19"/>
      <c r="B72" s="19" t="s">
        <v>164</v>
      </c>
      <c r="C72" s="19" t="s">
        <v>70</v>
      </c>
      <c r="D72" s="19" t="s">
        <v>163</v>
      </c>
      <c r="I72" s="19" t="s">
        <v>165</v>
      </c>
      <c r="J72" s="19" t="s">
        <v>143</v>
      </c>
    </row>
    <row r="73" spans="1:54" ht="28.8" x14ac:dyDescent="0.3">
      <c r="A73" s="26"/>
      <c r="B73" s="26" t="s">
        <v>148</v>
      </c>
      <c r="C73" s="4" t="s">
        <v>153</v>
      </c>
      <c r="D73" s="15">
        <v>6</v>
      </c>
      <c r="I73" s="15" t="s">
        <v>166</v>
      </c>
      <c r="J73" s="15">
        <v>5</v>
      </c>
      <c r="AE73" s="19" t="s">
        <v>254</v>
      </c>
      <c r="AF73" s="19" t="s">
        <v>251</v>
      </c>
      <c r="AG73" s="19" t="s">
        <v>252</v>
      </c>
      <c r="AH73" s="19" t="s">
        <v>253</v>
      </c>
    </row>
    <row r="74" spans="1:54" ht="28.8" x14ac:dyDescent="0.3">
      <c r="A74" s="26"/>
      <c r="B74" s="26" t="s">
        <v>158</v>
      </c>
      <c r="C74" s="4" t="s">
        <v>162</v>
      </c>
      <c r="D74" s="15">
        <v>5</v>
      </c>
      <c r="I74" s="15" t="s">
        <v>167</v>
      </c>
      <c r="J74" s="15">
        <v>3</v>
      </c>
      <c r="AE74" s="15" t="s">
        <v>250</v>
      </c>
      <c r="AF74" s="32">
        <v>0.3</v>
      </c>
      <c r="AG74" s="15">
        <v>4</v>
      </c>
      <c r="AH74" s="33">
        <f>(1-AF74)/AG74</f>
        <v>0.17499999999999999</v>
      </c>
    </row>
    <row r="75" spans="1:54" x14ac:dyDescent="0.3">
      <c r="A75" s="26"/>
      <c r="B75" s="26" t="s">
        <v>119</v>
      </c>
      <c r="C75" s="4" t="s">
        <v>161</v>
      </c>
      <c r="D75" s="15">
        <v>4</v>
      </c>
      <c r="I75" s="15" t="s">
        <v>168</v>
      </c>
      <c r="J75" s="15">
        <v>1</v>
      </c>
      <c r="AE75" s="15" t="s">
        <v>256</v>
      </c>
      <c r="AF75" s="32">
        <v>0.4</v>
      </c>
      <c r="AG75" s="15">
        <v>3</v>
      </c>
      <c r="AH75" s="33">
        <f>(1-AF75)/AG75</f>
        <v>0.19999999999999998</v>
      </c>
    </row>
    <row r="76" spans="1:54" ht="43.2" x14ac:dyDescent="0.3">
      <c r="A76" s="26"/>
      <c r="B76" s="26" t="s">
        <v>155</v>
      </c>
      <c r="C76" s="4" t="s">
        <v>169</v>
      </c>
      <c r="D76" s="15">
        <v>3</v>
      </c>
      <c r="AE76" s="15" t="s">
        <v>257</v>
      </c>
      <c r="AF76" s="32">
        <v>0.5</v>
      </c>
      <c r="AG76" s="15">
        <v>2</v>
      </c>
      <c r="AH76" s="33">
        <f>(1-AF76)/AG76</f>
        <v>0.25</v>
      </c>
    </row>
    <row r="77" spans="1:54" x14ac:dyDescent="0.3">
      <c r="A77" s="26"/>
      <c r="B77" s="26" t="s">
        <v>149</v>
      </c>
      <c r="C77" s="4" t="s">
        <v>160</v>
      </c>
      <c r="D77" s="15">
        <v>2</v>
      </c>
      <c r="AE77" s="15" t="s">
        <v>255</v>
      </c>
      <c r="AF77" s="32">
        <v>1</v>
      </c>
      <c r="AG77" s="15">
        <v>0</v>
      </c>
      <c r="AH77" s="33">
        <v>0</v>
      </c>
    </row>
    <row r="78" spans="1:54" x14ac:dyDescent="0.3">
      <c r="A78" s="26"/>
      <c r="B78" s="26" t="s">
        <v>157</v>
      </c>
      <c r="C78" s="4" t="s">
        <v>159</v>
      </c>
      <c r="D78" s="15">
        <v>1</v>
      </c>
    </row>
    <row r="81" spans="1:54" x14ac:dyDescent="0.3">
      <c r="A81" s="4"/>
      <c r="B81" s="4" t="s">
        <v>1</v>
      </c>
      <c r="C81" s="4"/>
      <c r="D81" s="15" t="s">
        <v>27</v>
      </c>
      <c r="E81" s="15"/>
      <c r="F81" s="15" t="s">
        <v>138</v>
      </c>
      <c r="G81" s="15">
        <f t="shared" ref="G81:G87" si="7">IF(F81="S",1,IF(F81="M",2,IF(F81="L",4,0)))</f>
        <v>2</v>
      </c>
      <c r="H81" s="15"/>
      <c r="I81" s="15" t="s">
        <v>127</v>
      </c>
      <c r="J81" s="15" t="s">
        <v>127</v>
      </c>
      <c r="K81" s="15" t="s">
        <v>68</v>
      </c>
      <c r="L81" s="16"/>
      <c r="M81" s="16"/>
      <c r="N81" s="16"/>
      <c r="O81" s="16"/>
      <c r="P81" s="16" t="s">
        <v>115</v>
      </c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>
        <v>4000</v>
      </c>
      <c r="AS81" s="7"/>
      <c r="AT81" s="15">
        <v>2024</v>
      </c>
      <c r="AU81" s="15"/>
      <c r="AV81" s="22"/>
      <c r="AW81" s="22"/>
      <c r="AX81" s="22"/>
      <c r="AY81" s="22"/>
      <c r="AZ81" s="22"/>
      <c r="BA81" s="22"/>
      <c r="BB81" s="22">
        <f t="shared" ref="BB81:BB87" si="8">AV81*$AV$1+AZ81*$AZ$1+AX81*$AX$1+AY81*$AY$1+AW81*$AW$1+BA81*$BA$1</f>
        <v>0</v>
      </c>
    </row>
    <row r="82" spans="1:54" ht="28.8" x14ac:dyDescent="0.3">
      <c r="A82" s="4"/>
      <c r="B82" s="4" t="s">
        <v>150</v>
      </c>
      <c r="C82" s="4"/>
      <c r="D82" s="15" t="s">
        <v>27</v>
      </c>
      <c r="E82" s="15"/>
      <c r="F82" s="15"/>
      <c r="G82" s="15">
        <f t="shared" si="7"/>
        <v>0</v>
      </c>
      <c r="H82" s="15"/>
      <c r="I82" s="15" t="s">
        <v>127</v>
      </c>
      <c r="J82" s="15" t="s">
        <v>127</v>
      </c>
      <c r="K82" s="15" t="s">
        <v>68</v>
      </c>
      <c r="L82" s="16"/>
      <c r="M82" s="16"/>
      <c r="N82" s="16"/>
      <c r="O82" s="16"/>
      <c r="P82" s="16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>
        <v>12000</v>
      </c>
      <c r="AS82" s="7"/>
      <c r="AT82" s="15">
        <v>2023</v>
      </c>
      <c r="AU82" s="15"/>
      <c r="AV82" s="22"/>
      <c r="AW82" s="22"/>
      <c r="AX82" s="22"/>
      <c r="AY82" s="22"/>
      <c r="AZ82" s="22"/>
      <c r="BA82" s="22"/>
      <c r="BB82" s="22">
        <f t="shared" si="8"/>
        <v>0</v>
      </c>
    </row>
    <row r="83" spans="1:54" ht="28.8" x14ac:dyDescent="0.3">
      <c r="A83" s="4"/>
      <c r="B83" s="4" t="s">
        <v>10</v>
      </c>
      <c r="C83" s="4"/>
      <c r="D83" s="15" t="s">
        <v>27</v>
      </c>
      <c r="E83" s="15"/>
      <c r="F83" s="15" t="s">
        <v>138</v>
      </c>
      <c r="G83" s="15">
        <f t="shared" si="7"/>
        <v>2</v>
      </c>
      <c r="H83" s="15"/>
      <c r="I83" s="15" t="s">
        <v>127</v>
      </c>
      <c r="J83" s="15" t="s">
        <v>69</v>
      </c>
      <c r="K83" s="15" t="s">
        <v>68</v>
      </c>
      <c r="L83" s="16" t="s">
        <v>115</v>
      </c>
      <c r="M83" s="16" t="s">
        <v>115</v>
      </c>
      <c r="N83" s="16"/>
      <c r="O83" s="16"/>
      <c r="P83" s="16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>
        <v>0</v>
      </c>
      <c r="AS83" s="7"/>
      <c r="AT83" s="15">
        <v>2024</v>
      </c>
      <c r="AU83" s="15"/>
      <c r="AV83" s="22"/>
      <c r="AW83" s="22"/>
      <c r="AX83" s="22"/>
      <c r="AY83" s="22"/>
      <c r="AZ83" s="22"/>
      <c r="BA83" s="22"/>
      <c r="BB83" s="22">
        <f t="shared" si="8"/>
        <v>0</v>
      </c>
    </row>
    <row r="84" spans="1:54" x14ac:dyDescent="0.3">
      <c r="A84" s="4"/>
      <c r="B84" s="4" t="s">
        <v>124</v>
      </c>
      <c r="C84" s="4"/>
      <c r="D84" s="15" t="s">
        <v>27</v>
      </c>
      <c r="E84" s="15"/>
      <c r="F84" s="15"/>
      <c r="G84" s="15">
        <f t="shared" si="7"/>
        <v>0</v>
      </c>
      <c r="H84" s="15"/>
      <c r="I84" s="15" t="s">
        <v>127</v>
      </c>
      <c r="J84" s="15" t="s">
        <v>127</v>
      </c>
      <c r="K84" s="15" t="s">
        <v>68</v>
      </c>
      <c r="L84" s="16"/>
      <c r="M84" s="16"/>
      <c r="N84" s="16"/>
      <c r="O84" s="16"/>
      <c r="P84" s="16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>
        <v>13200</v>
      </c>
      <c r="AS84" s="7"/>
      <c r="AT84" s="15">
        <v>2023</v>
      </c>
      <c r="AU84" s="15"/>
      <c r="AV84" s="22"/>
      <c r="AW84" s="22"/>
      <c r="AX84" s="22"/>
      <c r="AY84" s="22"/>
      <c r="AZ84" s="22"/>
      <c r="BA84" s="22"/>
      <c r="BB84" s="22">
        <f t="shared" si="8"/>
        <v>0</v>
      </c>
    </row>
    <row r="85" spans="1:54" x14ac:dyDescent="0.3">
      <c r="A85" s="4"/>
      <c r="B85" s="4" t="s">
        <v>124</v>
      </c>
      <c r="C85" s="4"/>
      <c r="D85" s="15" t="s">
        <v>27</v>
      </c>
      <c r="E85" s="15"/>
      <c r="F85" s="15"/>
      <c r="G85" s="15">
        <f t="shared" si="7"/>
        <v>0</v>
      </c>
      <c r="H85" s="15"/>
      <c r="I85" s="15" t="s">
        <v>127</v>
      </c>
      <c r="J85" s="15" t="s">
        <v>127</v>
      </c>
      <c r="K85" s="15" t="s">
        <v>68</v>
      </c>
      <c r="L85" s="16"/>
      <c r="M85" s="16"/>
      <c r="N85" s="16"/>
      <c r="O85" s="16"/>
      <c r="P85" s="16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>
        <v>13200</v>
      </c>
      <c r="AS85" s="7"/>
      <c r="AT85" s="15">
        <v>2023</v>
      </c>
      <c r="AU85" s="15"/>
      <c r="AV85" s="22"/>
      <c r="AW85" s="22"/>
      <c r="AX85" s="22"/>
      <c r="AY85" s="22"/>
      <c r="AZ85" s="22"/>
      <c r="BA85" s="22"/>
      <c r="BB85" s="22">
        <f t="shared" si="8"/>
        <v>0</v>
      </c>
    </row>
    <row r="86" spans="1:54" x14ac:dyDescent="0.3">
      <c r="A86" s="4"/>
      <c r="B86" s="4" t="s">
        <v>125</v>
      </c>
      <c r="C86" s="4"/>
      <c r="D86" s="15" t="s">
        <v>27</v>
      </c>
      <c r="E86" s="15"/>
      <c r="F86" s="15"/>
      <c r="G86" s="15">
        <f t="shared" si="7"/>
        <v>0</v>
      </c>
      <c r="H86" s="15"/>
      <c r="I86" s="15" t="s">
        <v>127</v>
      </c>
      <c r="J86" s="15" t="s">
        <v>127</v>
      </c>
      <c r="K86" s="15" t="s">
        <v>68</v>
      </c>
      <c r="L86" s="16"/>
      <c r="M86" s="16"/>
      <c r="N86" s="16"/>
      <c r="O86" s="16"/>
      <c r="P86" s="16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>
        <v>4560</v>
      </c>
      <c r="AS86" s="7"/>
      <c r="AT86" s="15">
        <v>2023</v>
      </c>
      <c r="AU86" s="15"/>
      <c r="AV86" s="22"/>
      <c r="AW86" s="22"/>
      <c r="AX86" s="22"/>
      <c r="AY86" s="22"/>
      <c r="AZ86" s="22"/>
      <c r="BA86" s="22"/>
      <c r="BB86" s="22">
        <f t="shared" si="8"/>
        <v>0</v>
      </c>
    </row>
    <row r="87" spans="1:54" x14ac:dyDescent="0.3">
      <c r="A87" s="4"/>
      <c r="B87" s="4" t="s">
        <v>126</v>
      </c>
      <c r="C87" s="4"/>
      <c r="D87" s="15" t="s">
        <v>27</v>
      </c>
      <c r="E87" s="15"/>
      <c r="F87" s="15"/>
      <c r="G87" s="15">
        <f t="shared" si="7"/>
        <v>0</v>
      </c>
      <c r="H87" s="15"/>
      <c r="I87" s="15" t="s">
        <v>127</v>
      </c>
      <c r="J87" s="15" t="s">
        <v>127</v>
      </c>
      <c r="K87" s="15" t="s">
        <v>68</v>
      </c>
      <c r="L87" s="16"/>
      <c r="M87" s="16"/>
      <c r="N87" s="16"/>
      <c r="O87" s="16"/>
      <c r="P87" s="16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>
        <v>7200</v>
      </c>
      <c r="AS87" s="7"/>
      <c r="AT87" s="15">
        <v>2023</v>
      </c>
      <c r="AU87" s="15"/>
      <c r="AV87" s="22"/>
      <c r="AW87" s="22"/>
      <c r="AX87" s="22"/>
      <c r="AY87" s="22"/>
      <c r="AZ87" s="22"/>
      <c r="BA87" s="22"/>
      <c r="BB87" s="22">
        <f t="shared" si="8"/>
        <v>0</v>
      </c>
    </row>
    <row r="90" spans="1:54" x14ac:dyDescent="0.3">
      <c r="B90" s="6" t="s">
        <v>226</v>
      </c>
      <c r="C90" s="6" t="s">
        <v>227</v>
      </c>
    </row>
    <row r="97" spans="39:41" x14ac:dyDescent="0.3">
      <c r="AM97" s="5" t="s">
        <v>180</v>
      </c>
    </row>
    <row r="98" spans="39:41" x14ac:dyDescent="0.3">
      <c r="AM98" s="5" t="s">
        <v>181</v>
      </c>
    </row>
    <row r="99" spans="39:41" x14ac:dyDescent="0.3">
      <c r="AM99" s="5" t="s">
        <v>182</v>
      </c>
      <c r="AO99" s="5" t="s">
        <v>183</v>
      </c>
    </row>
    <row r="100" spans="39:41" x14ac:dyDescent="0.3">
      <c r="AM100" s="5" t="s">
        <v>184</v>
      </c>
      <c r="AO100" s="5" t="s">
        <v>185</v>
      </c>
    </row>
  </sheetData>
  <autoFilter ref="A2:BY63" xr:uid="{E3859075-1CC5-452A-B76D-5474E4C6D25B}">
    <filterColumn colId="45">
      <filters blank="1">
        <filter val="2023"/>
      </filters>
    </filterColumn>
  </autoFilter>
  <mergeCells count="3">
    <mergeCell ref="D1:E1"/>
    <mergeCell ref="F1:H1"/>
    <mergeCell ref="L1:P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E734F-345E-47D3-99D7-26103FFD140E}">
  <sheetPr>
    <tabColor rgb="FFFFFF00"/>
  </sheetPr>
  <dimension ref="A1:CC46"/>
  <sheetViews>
    <sheetView showGridLines="0" zoomScaleNormal="100" workbookViewId="0">
      <pane xSplit="22" ySplit="3" topLeftCell="W4" activePane="bottomRight" state="frozen"/>
      <selection pane="topRight" activeCell="W1" sqref="W1"/>
      <selection pane="bottomLeft" activeCell="A4" sqref="A4"/>
      <selection pane="bottomRight" activeCell="F2" sqref="F2:F3"/>
    </sheetView>
  </sheetViews>
  <sheetFormatPr baseColWidth="10" defaultColWidth="0" defaultRowHeight="14.4" x14ac:dyDescent="0.3"/>
  <cols>
    <col min="1" max="1" width="3" style="5" bestFit="1" customWidth="1"/>
    <col min="2" max="2" width="3" style="5" customWidth="1"/>
    <col min="3" max="3" width="44.44140625" style="5" customWidth="1"/>
    <col min="4" max="5" width="14.6640625" style="13" hidden="1" customWidth="1"/>
    <col min="6" max="8" width="3.6640625" style="13" hidden="1" customWidth="1"/>
    <col min="9" max="10" width="11.6640625" style="13" hidden="1" customWidth="1"/>
    <col min="11" max="15" width="3.6640625" style="13" hidden="1" customWidth="1"/>
    <col min="16" max="22" width="3.33203125" style="13" customWidth="1"/>
    <col min="23" max="28" width="2.6640625" style="13" customWidth="1"/>
    <col min="29" max="78" width="2.6640625" style="5" customWidth="1"/>
    <col min="79" max="80" width="14.109375" style="13" customWidth="1"/>
    <col min="81" max="81" width="11.44140625" style="5" customWidth="1"/>
    <col min="82" max="16384" width="11.44140625" style="5" hidden="1"/>
  </cols>
  <sheetData>
    <row r="1" spans="1:80" ht="15" customHeight="1" x14ac:dyDescent="0.3">
      <c r="F1" s="253" t="s">
        <v>144</v>
      </c>
      <c r="G1" s="253"/>
      <c r="H1" s="253"/>
      <c r="K1" s="254" t="s">
        <v>116</v>
      </c>
      <c r="L1" s="254"/>
      <c r="M1" s="254"/>
      <c r="N1" s="254"/>
      <c r="O1" s="254"/>
      <c r="P1" s="257" t="s">
        <v>262</v>
      </c>
      <c r="Q1" s="257" t="s">
        <v>263</v>
      </c>
      <c r="R1" s="257" t="s">
        <v>292</v>
      </c>
      <c r="S1" s="257" t="s">
        <v>264</v>
      </c>
      <c r="T1" s="257" t="s">
        <v>265</v>
      </c>
      <c r="U1" s="257" t="s">
        <v>266</v>
      </c>
      <c r="V1" s="258" t="s">
        <v>65</v>
      </c>
      <c r="W1" s="259">
        <v>2022</v>
      </c>
      <c r="X1" s="259"/>
      <c r="Y1" s="259"/>
      <c r="Z1" s="259"/>
      <c r="AA1" s="259"/>
      <c r="AB1" s="259"/>
      <c r="AC1" s="259" t="s">
        <v>293</v>
      </c>
      <c r="AD1" s="260"/>
      <c r="AE1" s="259"/>
      <c r="AF1" s="259"/>
      <c r="AG1" s="259"/>
      <c r="AH1" s="259"/>
      <c r="AI1" s="259"/>
      <c r="AJ1" s="259"/>
      <c r="AK1" s="259"/>
      <c r="AL1" s="259"/>
      <c r="AM1" s="259"/>
      <c r="AN1" s="259"/>
      <c r="AO1" s="259" t="s">
        <v>294</v>
      </c>
      <c r="AP1" s="259"/>
      <c r="AQ1" s="259"/>
      <c r="AR1" s="259"/>
      <c r="AS1" s="259"/>
      <c r="AT1" s="259"/>
      <c r="AU1" s="259"/>
      <c r="AV1" s="259"/>
      <c r="AW1" s="259"/>
      <c r="AX1" s="259"/>
      <c r="AY1" s="259"/>
      <c r="AZ1" s="259"/>
      <c r="BA1" s="259" t="s">
        <v>295</v>
      </c>
      <c r="BB1" s="259"/>
      <c r="BC1" s="259"/>
      <c r="BD1" s="259"/>
      <c r="BE1" s="259"/>
      <c r="BF1" s="259"/>
      <c r="BG1" s="259"/>
      <c r="BH1" s="259"/>
      <c r="BI1" s="259"/>
      <c r="BJ1" s="259"/>
      <c r="BK1" s="259"/>
      <c r="BL1" s="259"/>
      <c r="BM1" s="259" t="s">
        <v>296</v>
      </c>
      <c r="BN1" s="259"/>
      <c r="BO1" s="259"/>
      <c r="BP1" s="259"/>
      <c r="BQ1" s="259"/>
      <c r="BR1" s="259"/>
      <c r="BS1" s="259"/>
      <c r="BT1" s="259"/>
      <c r="BU1" s="259"/>
      <c r="BV1" s="259"/>
      <c r="BW1" s="259"/>
      <c r="BX1" s="259"/>
      <c r="BY1" s="259">
        <v>2024</v>
      </c>
      <c r="BZ1" s="259"/>
    </row>
    <row r="2" spans="1:80" x14ac:dyDescent="0.3">
      <c r="D2" s="253" t="s">
        <v>104</v>
      </c>
      <c r="E2" s="253"/>
      <c r="F2" s="267" t="s">
        <v>137</v>
      </c>
      <c r="G2" s="267" t="s">
        <v>143</v>
      </c>
      <c r="H2" s="267" t="s">
        <v>156</v>
      </c>
      <c r="K2" s="268" t="s">
        <v>82</v>
      </c>
      <c r="L2" s="268" t="s">
        <v>76</v>
      </c>
      <c r="M2" s="268" t="s">
        <v>154</v>
      </c>
      <c r="N2" s="268" t="s">
        <v>130</v>
      </c>
      <c r="O2" s="268" t="s">
        <v>117</v>
      </c>
      <c r="P2" s="257"/>
      <c r="Q2" s="257"/>
      <c r="R2" s="257"/>
      <c r="S2" s="257"/>
      <c r="T2" s="257"/>
      <c r="U2" s="257"/>
      <c r="V2" s="258"/>
      <c r="W2" s="261" t="s">
        <v>278</v>
      </c>
      <c r="X2" s="262"/>
      <c r="Y2" s="263" t="s">
        <v>267</v>
      </c>
      <c r="Z2" s="264"/>
      <c r="AA2" s="264"/>
      <c r="AB2" s="265"/>
      <c r="AC2" s="266" t="s">
        <v>268</v>
      </c>
      <c r="AD2" s="266"/>
      <c r="AE2" s="266"/>
      <c r="AF2" s="266"/>
      <c r="AG2" s="259" t="s">
        <v>269</v>
      </c>
      <c r="AH2" s="259"/>
      <c r="AI2" s="259"/>
      <c r="AJ2" s="259"/>
      <c r="AK2" s="266" t="s">
        <v>270</v>
      </c>
      <c r="AL2" s="266"/>
      <c r="AM2" s="266"/>
      <c r="AN2" s="266"/>
      <c r="AO2" s="259" t="s">
        <v>271</v>
      </c>
      <c r="AP2" s="259"/>
      <c r="AQ2" s="259"/>
      <c r="AR2" s="259"/>
      <c r="AS2" s="266" t="s">
        <v>272</v>
      </c>
      <c r="AT2" s="266"/>
      <c r="AU2" s="266"/>
      <c r="AV2" s="266"/>
      <c r="AW2" s="259" t="s">
        <v>273</v>
      </c>
      <c r="AX2" s="259"/>
      <c r="AY2" s="259"/>
      <c r="AZ2" s="259"/>
      <c r="BA2" s="266" t="s">
        <v>274</v>
      </c>
      <c r="BB2" s="266"/>
      <c r="BC2" s="266"/>
      <c r="BD2" s="266"/>
      <c r="BE2" s="259" t="s">
        <v>275</v>
      </c>
      <c r="BF2" s="259"/>
      <c r="BG2" s="259"/>
      <c r="BH2" s="259"/>
      <c r="BI2" s="266" t="s">
        <v>276</v>
      </c>
      <c r="BJ2" s="266"/>
      <c r="BK2" s="266"/>
      <c r="BL2" s="266"/>
      <c r="BM2" s="259" t="s">
        <v>277</v>
      </c>
      <c r="BN2" s="259"/>
      <c r="BO2" s="259"/>
      <c r="BP2" s="259"/>
      <c r="BQ2" s="266" t="s">
        <v>278</v>
      </c>
      <c r="BR2" s="266"/>
      <c r="BS2" s="266"/>
      <c r="BT2" s="266"/>
      <c r="BU2" s="259" t="s">
        <v>267</v>
      </c>
      <c r="BV2" s="259"/>
      <c r="BW2" s="259"/>
      <c r="BX2" s="259"/>
      <c r="BY2" s="261" t="s">
        <v>268</v>
      </c>
      <c r="BZ2" s="262"/>
    </row>
    <row r="3" spans="1:80" s="13" customFormat="1" ht="15" customHeight="1" x14ac:dyDescent="0.3">
      <c r="A3" s="10" t="s">
        <v>279</v>
      </c>
      <c r="B3" s="10" t="s">
        <v>298</v>
      </c>
      <c r="C3" s="10" t="s">
        <v>62</v>
      </c>
      <c r="D3" s="10" t="s">
        <v>105</v>
      </c>
      <c r="E3" s="10" t="s">
        <v>106</v>
      </c>
      <c r="F3" s="267"/>
      <c r="G3" s="267"/>
      <c r="H3" s="267"/>
      <c r="I3" s="14" t="s">
        <v>114</v>
      </c>
      <c r="J3" s="10" t="s">
        <v>51</v>
      </c>
      <c r="K3" s="268"/>
      <c r="L3" s="268"/>
      <c r="M3" s="268"/>
      <c r="N3" s="268"/>
      <c r="O3" s="268"/>
      <c r="P3" s="257"/>
      <c r="Q3" s="257"/>
      <c r="R3" s="257"/>
      <c r="S3" s="257"/>
      <c r="T3" s="257"/>
      <c r="U3" s="257"/>
      <c r="V3" s="258"/>
      <c r="W3" s="41">
        <v>3</v>
      </c>
      <c r="X3" s="41">
        <v>4</v>
      </c>
      <c r="Y3" s="36">
        <v>1</v>
      </c>
      <c r="Z3" s="36">
        <f>Y3+1</f>
        <v>2</v>
      </c>
      <c r="AA3" s="65">
        <f>Z3+1</f>
        <v>3</v>
      </c>
      <c r="AB3" s="65">
        <f>AA3+1</f>
        <v>4</v>
      </c>
      <c r="AC3" s="41">
        <v>1</v>
      </c>
      <c r="AD3" s="41">
        <f>AC3+1</f>
        <v>2</v>
      </c>
      <c r="AE3" s="65">
        <f>AD3+1</f>
        <v>3</v>
      </c>
      <c r="AF3" s="41">
        <f>AE3+1</f>
        <v>4</v>
      </c>
      <c r="AG3" s="36">
        <v>1</v>
      </c>
      <c r="AH3" s="36">
        <f>AG3+1</f>
        <v>2</v>
      </c>
      <c r="AI3" s="36">
        <f>AH3+1</f>
        <v>3</v>
      </c>
      <c r="AJ3" s="36">
        <f>AI3+1</f>
        <v>4</v>
      </c>
      <c r="AK3" s="41">
        <v>1</v>
      </c>
      <c r="AL3" s="41">
        <f>AK3+1</f>
        <v>2</v>
      </c>
      <c r="AM3" s="41">
        <f>AL3+1</f>
        <v>3</v>
      </c>
      <c r="AN3" s="41">
        <f>AM3+1</f>
        <v>4</v>
      </c>
      <c r="AO3" s="36">
        <v>1</v>
      </c>
      <c r="AP3" s="36">
        <f>AO3+1</f>
        <v>2</v>
      </c>
      <c r="AQ3" s="36">
        <f>AP3+1</f>
        <v>3</v>
      </c>
      <c r="AR3" s="36">
        <f>AQ3+1</f>
        <v>4</v>
      </c>
      <c r="AS3" s="41">
        <v>1</v>
      </c>
      <c r="AT3" s="41">
        <f>AS3+1</f>
        <v>2</v>
      </c>
      <c r="AU3" s="41">
        <f>AT3+1</f>
        <v>3</v>
      </c>
      <c r="AV3" s="41">
        <f>AU3+1</f>
        <v>4</v>
      </c>
      <c r="AW3" s="36">
        <v>1</v>
      </c>
      <c r="AX3" s="36">
        <f>AW3+1</f>
        <v>2</v>
      </c>
      <c r="AY3" s="36">
        <f>AX3+1</f>
        <v>3</v>
      </c>
      <c r="AZ3" s="36">
        <f>AY3+1</f>
        <v>4</v>
      </c>
      <c r="BA3" s="41">
        <v>1</v>
      </c>
      <c r="BB3" s="41">
        <f>BA3+1</f>
        <v>2</v>
      </c>
      <c r="BC3" s="41">
        <f>BB3+1</f>
        <v>3</v>
      </c>
      <c r="BD3" s="41">
        <f>BC3+1</f>
        <v>4</v>
      </c>
      <c r="BE3" s="36">
        <v>1</v>
      </c>
      <c r="BF3" s="36">
        <f>BE3+1</f>
        <v>2</v>
      </c>
      <c r="BG3" s="36">
        <f>BF3+1</f>
        <v>3</v>
      </c>
      <c r="BH3" s="36">
        <f>BG3+1</f>
        <v>4</v>
      </c>
      <c r="BI3" s="41">
        <v>1</v>
      </c>
      <c r="BJ3" s="41">
        <f>BI3+1</f>
        <v>2</v>
      </c>
      <c r="BK3" s="41">
        <f>BJ3+1</f>
        <v>3</v>
      </c>
      <c r="BL3" s="41">
        <f>BK3+1</f>
        <v>4</v>
      </c>
      <c r="BM3" s="36">
        <v>1</v>
      </c>
      <c r="BN3" s="36">
        <f>BM3+1</f>
        <v>2</v>
      </c>
      <c r="BO3" s="36">
        <f>BN3+1</f>
        <v>3</v>
      </c>
      <c r="BP3" s="36">
        <f>BO3+1</f>
        <v>4</v>
      </c>
      <c r="BQ3" s="41">
        <v>1</v>
      </c>
      <c r="BR3" s="41">
        <f>BQ3+1</f>
        <v>2</v>
      </c>
      <c r="BS3" s="41">
        <f>BR3+1</f>
        <v>3</v>
      </c>
      <c r="BT3" s="41">
        <f>BS3+1</f>
        <v>4</v>
      </c>
      <c r="BU3" s="36">
        <v>1</v>
      </c>
      <c r="BV3" s="36">
        <f>BU3+1</f>
        <v>2</v>
      </c>
      <c r="BW3" s="36">
        <f>BV3+1</f>
        <v>3</v>
      </c>
      <c r="BX3" s="36">
        <f>BW3+1</f>
        <v>4</v>
      </c>
      <c r="BY3" s="41">
        <v>1</v>
      </c>
      <c r="BZ3" s="41">
        <f>BY3+1</f>
        <v>2</v>
      </c>
      <c r="CA3" s="15" t="s">
        <v>280</v>
      </c>
      <c r="CB3" s="15" t="s">
        <v>281</v>
      </c>
    </row>
    <row r="4" spans="1:80" x14ac:dyDescent="0.3">
      <c r="A4" s="15"/>
      <c r="B4" s="15"/>
      <c r="C4" s="4" t="s">
        <v>135</v>
      </c>
      <c r="D4" s="15"/>
      <c r="E4" s="15"/>
      <c r="F4" s="15"/>
      <c r="G4" s="15"/>
      <c r="H4" s="15"/>
      <c r="I4" s="15"/>
      <c r="J4" s="15"/>
      <c r="K4" s="16"/>
      <c r="L4" s="16"/>
      <c r="M4" s="16"/>
      <c r="N4" s="16"/>
      <c r="O4" s="16"/>
      <c r="P4" s="37"/>
      <c r="Q4" s="37">
        <f t="shared" ref="Q4:Q26" si="0">IF(COUNTIF($W4:$BZ4,"A")=0,"",COUNTIF($W4:$BZ4,"A"))</f>
        <v>5</v>
      </c>
      <c r="R4" s="37">
        <f t="shared" ref="R4:R26" si="1">IF(COUNTIF($W4:$BZ4,"C")=0,"",COUNTIF($W4:$BZ4,"C"))</f>
        <v>2</v>
      </c>
      <c r="S4" s="37">
        <f t="shared" ref="S4:S26" si="2">IF(COUNTIF($W4:$BZ4,"D")=0,"",COUNTIF($W4:$BZ4,"D"))</f>
        <v>9</v>
      </c>
      <c r="T4" s="37">
        <f t="shared" ref="T4:T26" si="3">IF(COUNTIF($W4:$BZ4,"P")=0,"",COUNTIF($W4:$BZ4,"P"))</f>
        <v>5</v>
      </c>
      <c r="U4" s="37">
        <f t="shared" ref="U4:U26" si="4">IF(COUNTIF($W4:$BZ4,"R")=0,"",COUNTIF($W4:$BZ4,"R"))</f>
        <v>5</v>
      </c>
      <c r="V4" s="43">
        <f t="shared" ref="V4:V28" si="5">IF(SUM(P4:U4)=0,"",SUM(P4:U4))</f>
        <v>26</v>
      </c>
      <c r="W4" s="22"/>
      <c r="X4" s="22" t="s">
        <v>284</v>
      </c>
      <c r="Y4" s="15" t="s">
        <v>284</v>
      </c>
      <c r="Z4" s="15" t="s">
        <v>284</v>
      </c>
      <c r="AA4" s="63"/>
      <c r="AB4" s="63"/>
      <c r="AC4" s="22" t="s">
        <v>284</v>
      </c>
      <c r="AD4" s="22" t="s">
        <v>284</v>
      </c>
      <c r="AE4" s="63"/>
      <c r="AF4" s="22" t="s">
        <v>297</v>
      </c>
      <c r="AG4" s="15" t="s">
        <v>297</v>
      </c>
      <c r="AH4" s="15" t="s">
        <v>282</v>
      </c>
      <c r="AI4" s="15" t="s">
        <v>282</v>
      </c>
      <c r="AJ4" s="15" t="s">
        <v>282</v>
      </c>
      <c r="AK4" s="22" t="s">
        <v>282</v>
      </c>
      <c r="AL4" s="22" t="s">
        <v>282</v>
      </c>
      <c r="AM4" s="22" t="s">
        <v>282</v>
      </c>
      <c r="AN4" s="22" t="s">
        <v>282</v>
      </c>
      <c r="AO4" s="15" t="s">
        <v>282</v>
      </c>
      <c r="AP4" s="15" t="s">
        <v>282</v>
      </c>
      <c r="AQ4" s="15" t="s">
        <v>283</v>
      </c>
      <c r="AR4" s="15" t="s">
        <v>283</v>
      </c>
      <c r="AS4" s="22" t="s">
        <v>283</v>
      </c>
      <c r="AT4" s="22" t="s">
        <v>283</v>
      </c>
      <c r="AU4" s="22" t="s">
        <v>283</v>
      </c>
      <c r="AV4" s="22" t="s">
        <v>170</v>
      </c>
      <c r="AW4" s="15" t="s">
        <v>170</v>
      </c>
      <c r="AX4" s="15" t="s">
        <v>170</v>
      </c>
      <c r="AY4" s="15" t="s">
        <v>170</v>
      </c>
      <c r="AZ4" s="15" t="s">
        <v>170</v>
      </c>
      <c r="BA4" s="22"/>
      <c r="BB4" s="22"/>
      <c r="BC4" s="22"/>
      <c r="BD4" s="22"/>
      <c r="BE4" s="15"/>
      <c r="BF4" s="15"/>
      <c r="BG4" s="15"/>
      <c r="BH4" s="15"/>
      <c r="BI4" s="22"/>
      <c r="BJ4" s="22"/>
      <c r="BK4" s="22"/>
      <c r="BL4" s="22"/>
      <c r="BM4" s="15"/>
      <c r="BN4" s="15"/>
      <c r="BO4" s="15"/>
      <c r="BP4" s="15"/>
      <c r="BQ4" s="22"/>
      <c r="BR4" s="22"/>
      <c r="BS4" s="22"/>
      <c r="BT4" s="22"/>
      <c r="BU4" s="15"/>
      <c r="BV4" s="15"/>
      <c r="BW4" s="15"/>
      <c r="BX4" s="15"/>
      <c r="BY4" s="22"/>
      <c r="BZ4" s="22"/>
      <c r="CA4" s="15" t="s">
        <v>96</v>
      </c>
      <c r="CB4" s="15"/>
    </row>
    <row r="5" spans="1:80" x14ac:dyDescent="0.3">
      <c r="A5" s="15"/>
      <c r="B5" s="15"/>
      <c r="C5" s="4" t="s">
        <v>133</v>
      </c>
      <c r="D5" s="15"/>
      <c r="E5" s="15"/>
      <c r="F5" s="15"/>
      <c r="G5" s="15"/>
      <c r="H5" s="15"/>
      <c r="I5" s="15"/>
      <c r="J5" s="15"/>
      <c r="K5" s="16"/>
      <c r="L5" s="16"/>
      <c r="M5" s="16"/>
      <c r="N5" s="16"/>
      <c r="O5" s="16"/>
      <c r="P5" s="37"/>
      <c r="Q5" s="37">
        <f t="shared" si="0"/>
        <v>5</v>
      </c>
      <c r="R5" s="37">
        <f t="shared" si="1"/>
        <v>2</v>
      </c>
      <c r="S5" s="37">
        <f t="shared" si="2"/>
        <v>8</v>
      </c>
      <c r="T5" s="37">
        <f t="shared" si="3"/>
        <v>6</v>
      </c>
      <c r="U5" s="37">
        <f t="shared" si="4"/>
        <v>5</v>
      </c>
      <c r="V5" s="43">
        <f t="shared" si="5"/>
        <v>26</v>
      </c>
      <c r="W5" s="22"/>
      <c r="X5" s="22"/>
      <c r="Y5" s="15" t="s">
        <v>284</v>
      </c>
      <c r="Z5" s="15" t="s">
        <v>284</v>
      </c>
      <c r="AA5" s="63"/>
      <c r="AB5" s="63"/>
      <c r="AC5" s="22" t="s">
        <v>284</v>
      </c>
      <c r="AD5" s="22" t="s">
        <v>284</v>
      </c>
      <c r="AE5" s="63"/>
      <c r="AF5" s="22" t="s">
        <v>284</v>
      </c>
      <c r="AG5" s="15" t="s">
        <v>297</v>
      </c>
      <c r="AH5" s="15" t="s">
        <v>297</v>
      </c>
      <c r="AI5" s="15" t="s">
        <v>282</v>
      </c>
      <c r="AJ5" s="15" t="s">
        <v>282</v>
      </c>
      <c r="AK5" s="22" t="s">
        <v>282</v>
      </c>
      <c r="AL5" s="22" t="s">
        <v>282</v>
      </c>
      <c r="AM5" s="22" t="s">
        <v>282</v>
      </c>
      <c r="AN5" s="22" t="s">
        <v>282</v>
      </c>
      <c r="AO5" s="15" t="s">
        <v>282</v>
      </c>
      <c r="AP5" s="15" t="s">
        <v>282</v>
      </c>
      <c r="AQ5" s="15" t="s">
        <v>283</v>
      </c>
      <c r="AR5" s="15" t="s">
        <v>283</v>
      </c>
      <c r="AS5" s="22" t="s">
        <v>283</v>
      </c>
      <c r="AT5" s="22" t="s">
        <v>283</v>
      </c>
      <c r="AU5" s="22" t="s">
        <v>283</v>
      </c>
      <c r="AV5" s="22" t="s">
        <v>283</v>
      </c>
      <c r="AW5" s="15" t="s">
        <v>170</v>
      </c>
      <c r="AX5" s="15" t="s">
        <v>170</v>
      </c>
      <c r="AY5" s="15" t="s">
        <v>170</v>
      </c>
      <c r="AZ5" s="15" t="s">
        <v>170</v>
      </c>
      <c r="BA5" s="22" t="s">
        <v>170</v>
      </c>
      <c r="BB5" s="22"/>
      <c r="BC5" s="22"/>
      <c r="BD5" s="22"/>
      <c r="BE5" s="15"/>
      <c r="BF5" s="15"/>
      <c r="BG5" s="15"/>
      <c r="BH5" s="15"/>
      <c r="BI5" s="22"/>
      <c r="BJ5" s="22"/>
      <c r="BK5" s="22"/>
      <c r="BL5" s="22"/>
      <c r="BM5" s="15"/>
      <c r="BN5" s="15"/>
      <c r="BO5" s="15"/>
      <c r="BP5" s="15"/>
      <c r="BQ5" s="22"/>
      <c r="BR5" s="22"/>
      <c r="BS5" s="22"/>
      <c r="BT5" s="22"/>
      <c r="BU5" s="15"/>
      <c r="BV5" s="15"/>
      <c r="BW5" s="15"/>
      <c r="BX5" s="15"/>
      <c r="BY5" s="22"/>
      <c r="BZ5" s="22"/>
      <c r="CA5" s="15"/>
      <c r="CB5" s="15"/>
    </row>
    <row r="6" spans="1:80" x14ac:dyDescent="0.3">
      <c r="A6" s="15"/>
      <c r="B6" s="15"/>
      <c r="C6" s="67" t="s">
        <v>193</v>
      </c>
      <c r="D6" s="15" t="s">
        <v>21</v>
      </c>
      <c r="E6" s="15"/>
      <c r="F6" s="15" t="s">
        <v>139</v>
      </c>
      <c r="G6" s="15">
        <f>IF(F6="S",1,IF(F6="M",2,IF(F6="L",4,0)))</f>
        <v>4</v>
      </c>
      <c r="H6" s="15">
        <v>4</v>
      </c>
      <c r="I6" s="15" t="s">
        <v>134</v>
      </c>
      <c r="J6" s="15" t="s">
        <v>69</v>
      </c>
      <c r="K6" s="16" t="s">
        <v>115</v>
      </c>
      <c r="L6" s="16"/>
      <c r="M6" s="16"/>
      <c r="N6" s="16" t="s">
        <v>115</v>
      </c>
      <c r="O6" s="16"/>
      <c r="P6" s="37" t="str">
        <f>IF(COUNTIF($W6:$BX6,"F")=0,"",COUNTIF($W6:$BX6,"F"))</f>
        <v/>
      </c>
      <c r="Q6" s="37">
        <f t="shared" si="0"/>
        <v>3</v>
      </c>
      <c r="R6" s="37">
        <f t="shared" si="1"/>
        <v>2</v>
      </c>
      <c r="S6" s="37">
        <f t="shared" si="2"/>
        <v>2</v>
      </c>
      <c r="T6" s="37">
        <f t="shared" si="3"/>
        <v>2</v>
      </c>
      <c r="U6" s="37">
        <f t="shared" si="4"/>
        <v>2</v>
      </c>
      <c r="V6" s="43">
        <f>IF(SUM(P6:U6)=0,"",SUM(P6:U6))</f>
        <v>11</v>
      </c>
      <c r="W6" s="22"/>
      <c r="X6" s="22"/>
      <c r="Y6" s="15"/>
      <c r="Z6" s="15"/>
      <c r="AA6" s="63"/>
      <c r="AB6" s="63"/>
      <c r="AC6" s="22" t="s">
        <v>284</v>
      </c>
      <c r="AD6" s="22" t="s">
        <v>284</v>
      </c>
      <c r="AE6" s="63"/>
      <c r="AF6" s="22" t="s">
        <v>284</v>
      </c>
      <c r="AG6" s="15" t="s">
        <v>297</v>
      </c>
      <c r="AH6" s="15" t="s">
        <v>297</v>
      </c>
      <c r="AI6" s="15" t="s">
        <v>282</v>
      </c>
      <c r="AJ6" s="15" t="s">
        <v>282</v>
      </c>
      <c r="AK6" s="22" t="s">
        <v>283</v>
      </c>
      <c r="AL6" s="22" t="s">
        <v>283</v>
      </c>
      <c r="AM6" s="22" t="s">
        <v>170</v>
      </c>
      <c r="AN6" s="22" t="s">
        <v>170</v>
      </c>
      <c r="AO6" s="15"/>
      <c r="AP6" s="15"/>
      <c r="AQ6" s="15"/>
      <c r="AR6" s="15"/>
      <c r="AS6" s="22"/>
      <c r="AT6" s="22"/>
      <c r="AU6" s="22"/>
      <c r="AV6" s="22"/>
      <c r="AW6" s="15"/>
      <c r="AX6" s="15"/>
      <c r="AY6" s="15"/>
      <c r="AZ6" s="15"/>
      <c r="BA6" s="22"/>
      <c r="BB6" s="22"/>
      <c r="BC6" s="22"/>
      <c r="BD6" s="22"/>
      <c r="BE6" s="15"/>
      <c r="BF6" s="15"/>
      <c r="BG6" s="15"/>
      <c r="BH6" s="15"/>
      <c r="BI6" s="22"/>
      <c r="BJ6" s="22"/>
      <c r="BK6" s="22"/>
      <c r="BL6" s="22"/>
      <c r="BM6" s="15"/>
      <c r="BN6" s="15"/>
      <c r="BO6" s="15"/>
      <c r="BP6" s="15"/>
      <c r="BQ6" s="22"/>
      <c r="BR6" s="22"/>
      <c r="BS6" s="22"/>
      <c r="BT6" s="22"/>
      <c r="BU6" s="15"/>
      <c r="BV6" s="15"/>
      <c r="BW6" s="15"/>
      <c r="BX6" s="15"/>
      <c r="BY6" s="22"/>
      <c r="BZ6" s="22"/>
      <c r="CA6" s="15"/>
      <c r="CB6" s="15"/>
    </row>
    <row r="7" spans="1:80" x14ac:dyDescent="0.3">
      <c r="A7" s="15"/>
      <c r="B7" s="15"/>
      <c r="C7" s="4" t="s">
        <v>131</v>
      </c>
      <c r="D7" s="15" t="s">
        <v>15</v>
      </c>
      <c r="E7" s="15" t="s">
        <v>16</v>
      </c>
      <c r="F7" s="15" t="s">
        <v>138</v>
      </c>
      <c r="G7" s="15">
        <f>IF(F7="S",1,IF(F7="M",2,IF(F7="L",4,0)))</f>
        <v>2</v>
      </c>
      <c r="H7" s="15">
        <v>2</v>
      </c>
      <c r="I7" s="15" t="s">
        <v>113</v>
      </c>
      <c r="J7" s="15" t="s">
        <v>69</v>
      </c>
      <c r="K7" s="16" t="s">
        <v>115</v>
      </c>
      <c r="L7" s="16" t="s">
        <v>115</v>
      </c>
      <c r="M7" s="16"/>
      <c r="N7" s="16"/>
      <c r="O7" s="16"/>
      <c r="P7" s="37" t="str">
        <f>IF(COUNTIF($W7:$BX7,"F")=0,"",COUNTIF($W7:$BX7,"F"))</f>
        <v/>
      </c>
      <c r="Q7" s="37">
        <f t="shared" si="0"/>
        <v>3</v>
      </c>
      <c r="R7" s="37">
        <f t="shared" si="1"/>
        <v>2</v>
      </c>
      <c r="S7" s="37">
        <f t="shared" si="2"/>
        <v>4</v>
      </c>
      <c r="T7" s="37">
        <f t="shared" si="3"/>
        <v>4</v>
      </c>
      <c r="U7" s="37">
        <f t="shared" si="4"/>
        <v>4</v>
      </c>
      <c r="V7" s="43">
        <f t="shared" si="5"/>
        <v>17</v>
      </c>
      <c r="W7" s="22"/>
      <c r="X7" s="22"/>
      <c r="Y7" s="15"/>
      <c r="Z7" s="15"/>
      <c r="AA7" s="63"/>
      <c r="AB7" s="63"/>
      <c r="AC7" s="22" t="s">
        <v>284</v>
      </c>
      <c r="AD7" s="22" t="s">
        <v>284</v>
      </c>
      <c r="AE7" s="63"/>
      <c r="AF7" s="22" t="s">
        <v>284</v>
      </c>
      <c r="AG7" s="15" t="s">
        <v>297</v>
      </c>
      <c r="AH7" s="15" t="s">
        <v>297</v>
      </c>
      <c r="AI7" s="15" t="s">
        <v>282</v>
      </c>
      <c r="AJ7" s="15" t="s">
        <v>282</v>
      </c>
      <c r="AK7" s="22" t="s">
        <v>282</v>
      </c>
      <c r="AL7" s="22" t="s">
        <v>282</v>
      </c>
      <c r="AM7" s="22" t="s">
        <v>283</v>
      </c>
      <c r="AN7" s="22" t="s">
        <v>283</v>
      </c>
      <c r="AO7" s="15" t="s">
        <v>283</v>
      </c>
      <c r="AP7" s="15" t="s">
        <v>283</v>
      </c>
      <c r="AQ7" s="15" t="s">
        <v>170</v>
      </c>
      <c r="AR7" s="15" t="s">
        <v>170</v>
      </c>
      <c r="AS7" s="22" t="s">
        <v>170</v>
      </c>
      <c r="AT7" s="22" t="s">
        <v>170</v>
      </c>
      <c r="AU7" s="22"/>
      <c r="AV7" s="22"/>
      <c r="AW7" s="15"/>
      <c r="AX7" s="15"/>
      <c r="AY7" s="15"/>
      <c r="AZ7" s="15"/>
      <c r="BA7" s="22"/>
      <c r="BB7" s="22"/>
      <c r="BC7" s="22"/>
      <c r="BD7" s="22"/>
      <c r="BE7" s="15"/>
      <c r="BF7" s="15"/>
      <c r="BG7" s="15"/>
      <c r="BH7" s="15"/>
      <c r="BI7" s="22"/>
      <c r="BJ7" s="22"/>
      <c r="BK7" s="22"/>
      <c r="BL7" s="22"/>
      <c r="BM7" s="15"/>
      <c r="BN7" s="15"/>
      <c r="BO7" s="15"/>
      <c r="BP7" s="15"/>
      <c r="BQ7" s="22"/>
      <c r="BR7" s="22"/>
      <c r="BS7" s="22"/>
      <c r="BT7" s="22"/>
      <c r="BU7" s="15"/>
      <c r="BV7" s="15"/>
      <c r="BW7" s="15"/>
      <c r="BX7" s="15"/>
      <c r="BY7" s="22"/>
      <c r="BZ7" s="22"/>
      <c r="CA7" s="15"/>
      <c r="CB7" s="15"/>
    </row>
    <row r="8" spans="1:80" x14ac:dyDescent="0.3">
      <c r="A8" s="15"/>
      <c r="B8" s="15"/>
      <c r="C8" s="4" t="s">
        <v>299</v>
      </c>
      <c r="D8" s="15" t="s">
        <v>13</v>
      </c>
      <c r="E8" s="15"/>
      <c r="F8" s="15" t="s">
        <v>140</v>
      </c>
      <c r="G8" s="15">
        <f>IF(F8="S",1,IF(F8="M",2,IF(F8="L",4,0)))</f>
        <v>1</v>
      </c>
      <c r="H8" s="15">
        <v>0</v>
      </c>
      <c r="I8" s="15" t="s">
        <v>191</v>
      </c>
      <c r="J8" s="15" t="s">
        <v>69</v>
      </c>
      <c r="K8" s="16"/>
      <c r="L8" s="16"/>
      <c r="M8" s="16" t="s">
        <v>115</v>
      </c>
      <c r="N8" s="16"/>
      <c r="O8" s="16"/>
      <c r="P8" s="37" t="str">
        <f>IF(COUNTIF($W8:$BX8,"F")=0,"",COUNTIF($W8:$BX8,"F"))</f>
        <v/>
      </c>
      <c r="Q8" s="37">
        <f t="shared" si="0"/>
        <v>3</v>
      </c>
      <c r="R8" s="37">
        <f t="shared" si="1"/>
        <v>2</v>
      </c>
      <c r="S8" s="37">
        <f t="shared" si="2"/>
        <v>2</v>
      </c>
      <c r="T8" s="37">
        <f t="shared" si="3"/>
        <v>2</v>
      </c>
      <c r="U8" s="37">
        <f t="shared" si="4"/>
        <v>4</v>
      </c>
      <c r="V8" s="43">
        <f t="shared" si="5"/>
        <v>13</v>
      </c>
      <c r="W8" s="22"/>
      <c r="X8" s="22"/>
      <c r="Y8" s="15"/>
      <c r="Z8" s="15"/>
      <c r="AA8" s="63"/>
      <c r="AB8" s="63"/>
      <c r="AC8" s="22"/>
      <c r="AD8" s="22"/>
      <c r="AE8" s="63"/>
      <c r="AF8" s="22"/>
      <c r="AG8" s="15"/>
      <c r="AH8" s="15"/>
      <c r="AI8" s="15"/>
      <c r="AJ8" s="15" t="s">
        <v>284</v>
      </c>
      <c r="AK8" s="22" t="s">
        <v>284</v>
      </c>
      <c r="AL8" s="22" t="s">
        <v>284</v>
      </c>
      <c r="AM8" s="22" t="s">
        <v>297</v>
      </c>
      <c r="AN8" s="22" t="s">
        <v>297</v>
      </c>
      <c r="AO8" s="15" t="s">
        <v>282</v>
      </c>
      <c r="AP8" s="15" t="s">
        <v>282</v>
      </c>
      <c r="AQ8" s="15" t="s">
        <v>283</v>
      </c>
      <c r="AR8" s="15" t="s">
        <v>283</v>
      </c>
      <c r="AS8" s="22" t="s">
        <v>170</v>
      </c>
      <c r="AT8" s="22" t="s">
        <v>170</v>
      </c>
      <c r="AU8" s="22" t="s">
        <v>170</v>
      </c>
      <c r="AV8" s="22" t="s">
        <v>170</v>
      </c>
      <c r="AW8" s="15"/>
      <c r="AX8" s="15"/>
      <c r="AY8" s="15"/>
      <c r="AZ8" s="15"/>
      <c r="BA8" s="22"/>
      <c r="BB8" s="22"/>
      <c r="BC8" s="22"/>
      <c r="BD8" s="22"/>
      <c r="BE8" s="15"/>
      <c r="BF8" s="15"/>
      <c r="BG8" s="15"/>
      <c r="BH8" s="15"/>
      <c r="BI8" s="22"/>
      <c r="BJ8" s="22"/>
      <c r="BK8" s="22"/>
      <c r="BL8" s="22"/>
      <c r="BM8" s="15"/>
      <c r="BN8" s="15"/>
      <c r="BO8" s="15"/>
      <c r="BP8" s="15"/>
      <c r="BQ8" s="22"/>
      <c r="BR8" s="22"/>
      <c r="BS8" s="22"/>
      <c r="BT8" s="22"/>
      <c r="BU8" s="15"/>
      <c r="BV8" s="15"/>
      <c r="BW8" s="15"/>
      <c r="BX8" s="15"/>
      <c r="BY8" s="22"/>
      <c r="BZ8" s="22"/>
      <c r="CA8" s="15"/>
      <c r="CB8" s="15"/>
    </row>
    <row r="9" spans="1:80" x14ac:dyDescent="0.3">
      <c r="A9" s="15"/>
      <c r="B9" s="15"/>
      <c r="C9" s="4" t="s">
        <v>43</v>
      </c>
      <c r="D9" s="15"/>
      <c r="E9" s="15"/>
      <c r="F9" s="15"/>
      <c r="G9" s="15"/>
      <c r="H9" s="15"/>
      <c r="I9" s="15"/>
      <c r="J9" s="15"/>
      <c r="K9" s="16"/>
      <c r="L9" s="16"/>
      <c r="M9" s="16"/>
      <c r="N9" s="16"/>
      <c r="O9" s="16"/>
      <c r="P9" s="37"/>
      <c r="Q9" s="37">
        <f t="shared" si="0"/>
        <v>6</v>
      </c>
      <c r="R9" s="37">
        <f t="shared" si="1"/>
        <v>2</v>
      </c>
      <c r="S9" s="37">
        <f t="shared" si="2"/>
        <v>6</v>
      </c>
      <c r="T9" s="37">
        <f t="shared" si="3"/>
        <v>6</v>
      </c>
      <c r="U9" s="37">
        <f t="shared" si="4"/>
        <v>4</v>
      </c>
      <c r="V9" s="43">
        <f t="shared" si="5"/>
        <v>24</v>
      </c>
      <c r="W9" s="22"/>
      <c r="X9" s="22"/>
      <c r="Y9" s="15"/>
      <c r="Z9" s="15"/>
      <c r="AA9" s="63"/>
      <c r="AB9" s="63"/>
      <c r="AC9" s="22" t="s">
        <v>284</v>
      </c>
      <c r="AD9" s="22" t="s">
        <v>284</v>
      </c>
      <c r="AE9" s="63"/>
      <c r="AF9" s="22" t="s">
        <v>284</v>
      </c>
      <c r="AG9" s="15" t="s">
        <v>284</v>
      </c>
      <c r="AH9" s="15" t="s">
        <v>284</v>
      </c>
      <c r="AI9" s="15" t="s">
        <v>284</v>
      </c>
      <c r="AJ9" s="15" t="s">
        <v>297</v>
      </c>
      <c r="AK9" s="22" t="s">
        <v>297</v>
      </c>
      <c r="AL9" s="22"/>
      <c r="AM9" s="22"/>
      <c r="AN9" s="22"/>
      <c r="AO9" s="15"/>
      <c r="AP9" s="15"/>
      <c r="AQ9" s="15" t="s">
        <v>282</v>
      </c>
      <c r="AR9" s="15" t="s">
        <v>282</v>
      </c>
      <c r="AS9" s="22" t="s">
        <v>282</v>
      </c>
      <c r="AT9" s="22" t="s">
        <v>282</v>
      </c>
      <c r="AU9" s="22" t="s">
        <v>282</v>
      </c>
      <c r="AV9" s="22" t="s">
        <v>282</v>
      </c>
      <c r="AW9" s="15" t="s">
        <v>283</v>
      </c>
      <c r="AX9" s="15" t="s">
        <v>283</v>
      </c>
      <c r="AY9" s="15" t="s">
        <v>283</v>
      </c>
      <c r="AZ9" s="15" t="s">
        <v>283</v>
      </c>
      <c r="BA9" s="22" t="s">
        <v>283</v>
      </c>
      <c r="BB9" s="22" t="s">
        <v>283</v>
      </c>
      <c r="BC9" s="22" t="s">
        <v>170</v>
      </c>
      <c r="BD9" s="22" t="s">
        <v>170</v>
      </c>
      <c r="BE9" s="15" t="s">
        <v>170</v>
      </c>
      <c r="BF9" s="15" t="s">
        <v>170</v>
      </c>
      <c r="BG9" s="15"/>
      <c r="BH9" s="15"/>
      <c r="BI9" s="22"/>
      <c r="BJ9" s="22"/>
      <c r="BK9" s="22"/>
      <c r="BL9" s="22"/>
      <c r="BM9" s="15"/>
      <c r="BN9" s="15"/>
      <c r="BO9" s="15"/>
      <c r="BP9" s="15"/>
      <c r="BQ9" s="22"/>
      <c r="BR9" s="22"/>
      <c r="BS9" s="22"/>
      <c r="BT9" s="22"/>
      <c r="BU9" s="15"/>
      <c r="BV9" s="15"/>
      <c r="BW9" s="15"/>
      <c r="BX9" s="15"/>
      <c r="BY9" s="22"/>
      <c r="BZ9" s="22"/>
      <c r="CA9" s="15" t="s">
        <v>96</v>
      </c>
      <c r="CB9" s="15"/>
    </row>
    <row r="10" spans="1:80" x14ac:dyDescent="0.3">
      <c r="A10" s="15"/>
      <c r="B10" s="15"/>
      <c r="C10" s="4" t="s">
        <v>71</v>
      </c>
      <c r="D10" s="15" t="s">
        <v>15</v>
      </c>
      <c r="E10" s="15"/>
      <c r="F10" s="15" t="s">
        <v>138</v>
      </c>
      <c r="G10" s="15">
        <f>IF(F10="S",1,IF(F10="M",2,IF(F10="L",4,0)))</f>
        <v>2</v>
      </c>
      <c r="H10" s="15">
        <v>2</v>
      </c>
      <c r="I10" s="15" t="s">
        <v>113</v>
      </c>
      <c r="J10" s="15" t="s">
        <v>69</v>
      </c>
      <c r="K10" s="16" t="s">
        <v>115</v>
      </c>
      <c r="L10" s="16" t="s">
        <v>115</v>
      </c>
      <c r="M10" s="16"/>
      <c r="N10" s="16"/>
      <c r="O10" s="16"/>
      <c r="P10" s="37" t="str">
        <f>IF(COUNTIF($W10:$BX10,"F")=0,"",COUNTIF($W10:$BX10,"F"))</f>
        <v/>
      </c>
      <c r="Q10" s="37">
        <f t="shared" si="0"/>
        <v>6</v>
      </c>
      <c r="R10" s="37">
        <f t="shared" si="1"/>
        <v>3</v>
      </c>
      <c r="S10" s="37">
        <f t="shared" si="2"/>
        <v>6</v>
      </c>
      <c r="T10" s="37">
        <f t="shared" si="3"/>
        <v>6</v>
      </c>
      <c r="U10" s="37">
        <f t="shared" si="4"/>
        <v>4</v>
      </c>
      <c r="V10" s="43">
        <f t="shared" si="5"/>
        <v>25</v>
      </c>
      <c r="W10" s="22"/>
      <c r="X10" s="22"/>
      <c r="Y10" s="15"/>
      <c r="Z10" s="15"/>
      <c r="AA10" s="63"/>
      <c r="AB10" s="63"/>
      <c r="AC10" s="22"/>
      <c r="AD10" s="22"/>
      <c r="AE10" s="63"/>
      <c r="AF10" s="22"/>
      <c r="AG10" s="15"/>
      <c r="AH10" s="15"/>
      <c r="AI10" s="15"/>
      <c r="AJ10" s="15"/>
      <c r="AK10" s="22" t="s">
        <v>284</v>
      </c>
      <c r="AL10" s="22" t="s">
        <v>284</v>
      </c>
      <c r="AM10" s="22" t="s">
        <v>284</v>
      </c>
      <c r="AN10" s="22" t="s">
        <v>284</v>
      </c>
      <c r="AO10" s="15" t="s">
        <v>284</v>
      </c>
      <c r="AP10" s="15" t="s">
        <v>284</v>
      </c>
      <c r="AQ10" s="15" t="s">
        <v>297</v>
      </c>
      <c r="AR10" s="15" t="s">
        <v>297</v>
      </c>
      <c r="AS10" s="22" t="s">
        <v>297</v>
      </c>
      <c r="AT10" s="22" t="s">
        <v>282</v>
      </c>
      <c r="AU10" s="22" t="s">
        <v>282</v>
      </c>
      <c r="AV10" s="22" t="s">
        <v>282</v>
      </c>
      <c r="AW10" s="15" t="s">
        <v>282</v>
      </c>
      <c r="AX10" s="15" t="s">
        <v>282</v>
      </c>
      <c r="AY10" s="15" t="s">
        <v>282</v>
      </c>
      <c r="AZ10" s="15" t="s">
        <v>283</v>
      </c>
      <c r="BA10" s="22" t="s">
        <v>283</v>
      </c>
      <c r="BB10" s="22" t="s">
        <v>283</v>
      </c>
      <c r="BC10" s="22" t="s">
        <v>283</v>
      </c>
      <c r="BD10" s="22" t="s">
        <v>283</v>
      </c>
      <c r="BE10" s="15" t="s">
        <v>283</v>
      </c>
      <c r="BF10" s="15" t="s">
        <v>170</v>
      </c>
      <c r="BG10" s="15" t="s">
        <v>170</v>
      </c>
      <c r="BH10" s="15" t="s">
        <v>170</v>
      </c>
      <c r="BI10" s="22" t="s">
        <v>170</v>
      </c>
      <c r="BJ10" s="22"/>
      <c r="BK10" s="22"/>
      <c r="BL10" s="22"/>
      <c r="BM10" s="15"/>
      <c r="BN10" s="15"/>
      <c r="BO10" s="15"/>
      <c r="BP10" s="15"/>
      <c r="BQ10" s="22"/>
      <c r="BR10" s="22"/>
      <c r="BS10" s="22"/>
      <c r="BT10" s="22"/>
      <c r="BU10" s="15"/>
      <c r="BV10" s="15"/>
      <c r="BW10" s="15"/>
      <c r="BX10" s="15"/>
      <c r="BY10" s="22"/>
      <c r="BZ10" s="22"/>
      <c r="CA10" s="15"/>
      <c r="CB10" s="15"/>
    </row>
    <row r="11" spans="1:80" x14ac:dyDescent="0.3">
      <c r="A11" s="15"/>
      <c r="B11" s="15"/>
      <c r="C11" s="4" t="s">
        <v>300</v>
      </c>
      <c r="D11" s="15" t="s">
        <v>14</v>
      </c>
      <c r="E11" s="15"/>
      <c r="F11" s="15" t="s">
        <v>139</v>
      </c>
      <c r="G11" s="15">
        <f>IF(F11="S",1,IF(F11="M",2,IF(F11="L",4,0)))</f>
        <v>4</v>
      </c>
      <c r="H11" s="15">
        <v>4</v>
      </c>
      <c r="I11" s="15" t="s">
        <v>112</v>
      </c>
      <c r="J11" s="15" t="s">
        <v>69</v>
      </c>
      <c r="K11" s="16" t="s">
        <v>115</v>
      </c>
      <c r="L11" s="16"/>
      <c r="M11" s="16"/>
      <c r="N11" s="16" t="s">
        <v>115</v>
      </c>
      <c r="O11" s="16"/>
      <c r="P11" s="37" t="str">
        <f>IF(COUNTIF($W11:$BX11,"F")=0,"",COUNTIF($W11:$BX11,"F"))</f>
        <v/>
      </c>
      <c r="Q11" s="37">
        <f t="shared" si="0"/>
        <v>5</v>
      </c>
      <c r="R11" s="37">
        <f t="shared" si="1"/>
        <v>3</v>
      </c>
      <c r="S11" s="37">
        <f t="shared" si="2"/>
        <v>6</v>
      </c>
      <c r="T11" s="37">
        <f t="shared" si="3"/>
        <v>3</v>
      </c>
      <c r="U11" s="37">
        <f t="shared" si="4"/>
        <v>3</v>
      </c>
      <c r="V11" s="43">
        <f t="shared" si="5"/>
        <v>20</v>
      </c>
      <c r="W11" s="22"/>
      <c r="X11" s="22"/>
      <c r="Y11" s="15"/>
      <c r="Z11" s="15"/>
      <c r="AA11" s="63"/>
      <c r="AB11" s="63"/>
      <c r="AC11" s="22"/>
      <c r="AD11" s="22"/>
      <c r="AE11" s="63"/>
      <c r="AF11" s="22"/>
      <c r="AG11" s="15"/>
      <c r="AH11" s="15"/>
      <c r="AI11" s="15"/>
      <c r="AJ11" s="15"/>
      <c r="AK11" s="22"/>
      <c r="AL11" s="22" t="s">
        <v>284</v>
      </c>
      <c r="AM11" s="22" t="s">
        <v>284</v>
      </c>
      <c r="AN11" s="22" t="s">
        <v>284</v>
      </c>
      <c r="AO11" s="15" t="s">
        <v>284</v>
      </c>
      <c r="AP11" s="15" t="s">
        <v>284</v>
      </c>
      <c r="AQ11" s="15" t="s">
        <v>297</v>
      </c>
      <c r="AR11" s="15" t="s">
        <v>297</v>
      </c>
      <c r="AS11" s="22" t="s">
        <v>297</v>
      </c>
      <c r="AT11" s="22"/>
      <c r="AU11" s="22" t="s">
        <v>282</v>
      </c>
      <c r="AV11" s="22" t="s">
        <v>282</v>
      </c>
      <c r="AW11" s="15" t="s">
        <v>282</v>
      </c>
      <c r="AX11" s="15" t="s">
        <v>282</v>
      </c>
      <c r="AY11" s="15" t="s">
        <v>282</v>
      </c>
      <c r="AZ11" s="15" t="s">
        <v>282</v>
      </c>
      <c r="BA11" s="22" t="s">
        <v>283</v>
      </c>
      <c r="BB11" s="22" t="s">
        <v>283</v>
      </c>
      <c r="BC11" s="22" t="s">
        <v>283</v>
      </c>
      <c r="BD11" s="22" t="s">
        <v>170</v>
      </c>
      <c r="BE11" s="15" t="s">
        <v>170</v>
      </c>
      <c r="BF11" s="15" t="s">
        <v>170</v>
      </c>
      <c r="BG11" s="15"/>
      <c r="BH11" s="15"/>
      <c r="BI11" s="22"/>
      <c r="BJ11" s="22"/>
      <c r="BK11" s="22"/>
      <c r="BL11" s="22"/>
      <c r="BM11" s="15"/>
      <c r="BN11" s="15"/>
      <c r="BO11" s="15"/>
      <c r="BP11" s="15"/>
      <c r="BQ11" s="22"/>
      <c r="BR11" s="22"/>
      <c r="BS11" s="22"/>
      <c r="BT11" s="22"/>
      <c r="BU11" s="15"/>
      <c r="BV11" s="15"/>
      <c r="BW11" s="15"/>
      <c r="BX11" s="15"/>
      <c r="BY11" s="22"/>
      <c r="BZ11" s="22"/>
      <c r="CA11" s="15"/>
      <c r="CB11" s="15"/>
    </row>
    <row r="12" spans="1:80" x14ac:dyDescent="0.3">
      <c r="A12" s="15"/>
      <c r="B12" s="15"/>
      <c r="C12" s="4" t="s">
        <v>146</v>
      </c>
      <c r="D12" s="15"/>
      <c r="E12" s="15"/>
      <c r="F12" s="15"/>
      <c r="G12" s="15"/>
      <c r="H12" s="15"/>
      <c r="I12" s="15"/>
      <c r="J12" s="15"/>
      <c r="K12" s="16"/>
      <c r="L12" s="16"/>
      <c r="M12" s="16"/>
      <c r="N12" s="16"/>
      <c r="O12" s="16"/>
      <c r="P12" s="37"/>
      <c r="Q12" s="37">
        <f t="shared" si="0"/>
        <v>6</v>
      </c>
      <c r="R12" s="37">
        <f t="shared" si="1"/>
        <v>3</v>
      </c>
      <c r="S12" s="37">
        <f t="shared" si="2"/>
        <v>8</v>
      </c>
      <c r="T12" s="37">
        <f t="shared" si="3"/>
        <v>5</v>
      </c>
      <c r="U12" s="37">
        <f t="shared" si="4"/>
        <v>4</v>
      </c>
      <c r="V12" s="43">
        <f t="shared" si="5"/>
        <v>26</v>
      </c>
      <c r="W12" s="22"/>
      <c r="X12" s="22"/>
      <c r="Y12" s="15"/>
      <c r="Z12" s="15"/>
      <c r="AA12" s="63"/>
      <c r="AB12" s="63"/>
      <c r="AC12" s="22"/>
      <c r="AD12" s="22"/>
      <c r="AE12" s="63"/>
      <c r="AF12" s="22" t="s">
        <v>284</v>
      </c>
      <c r="AG12" s="15" t="s">
        <v>284</v>
      </c>
      <c r="AH12" s="15" t="s">
        <v>284</v>
      </c>
      <c r="AI12" s="15" t="s">
        <v>284</v>
      </c>
      <c r="AJ12" s="15" t="s">
        <v>284</v>
      </c>
      <c r="AK12" s="22" t="s">
        <v>284</v>
      </c>
      <c r="AL12" s="22" t="s">
        <v>297</v>
      </c>
      <c r="AM12" s="22" t="s">
        <v>297</v>
      </c>
      <c r="AN12" s="22" t="s">
        <v>297</v>
      </c>
      <c r="AO12" s="15"/>
      <c r="AP12" s="15"/>
      <c r="AQ12" s="15"/>
      <c r="AR12" s="15"/>
      <c r="AS12" s="22"/>
      <c r="AT12" s="22"/>
      <c r="AU12" s="22"/>
      <c r="AV12" s="22"/>
      <c r="AW12" s="15" t="s">
        <v>282</v>
      </c>
      <c r="AX12" s="15" t="s">
        <v>282</v>
      </c>
      <c r="AY12" s="15" t="s">
        <v>282</v>
      </c>
      <c r="AZ12" s="15" t="s">
        <v>282</v>
      </c>
      <c r="BA12" s="22" t="s">
        <v>282</v>
      </c>
      <c r="BB12" s="22" t="s">
        <v>282</v>
      </c>
      <c r="BC12" s="22" t="s">
        <v>282</v>
      </c>
      <c r="BD12" s="22" t="s">
        <v>282</v>
      </c>
      <c r="BE12" s="15" t="s">
        <v>283</v>
      </c>
      <c r="BF12" s="15" t="s">
        <v>283</v>
      </c>
      <c r="BG12" s="15" t="s">
        <v>283</v>
      </c>
      <c r="BH12" s="15" t="s">
        <v>283</v>
      </c>
      <c r="BI12" s="22" t="s">
        <v>283</v>
      </c>
      <c r="BJ12" s="22" t="s">
        <v>170</v>
      </c>
      <c r="BK12" s="22" t="s">
        <v>170</v>
      </c>
      <c r="BL12" s="22" t="s">
        <v>170</v>
      </c>
      <c r="BM12" s="15" t="s">
        <v>170</v>
      </c>
      <c r="BN12" s="15"/>
      <c r="BO12" s="15"/>
      <c r="BP12" s="15"/>
      <c r="BQ12" s="22"/>
      <c r="BR12" s="22"/>
      <c r="BS12" s="22"/>
      <c r="BT12" s="22"/>
      <c r="BU12" s="15"/>
      <c r="BV12" s="15"/>
      <c r="BW12" s="15"/>
      <c r="BX12" s="15"/>
      <c r="BY12" s="22"/>
      <c r="BZ12" s="22"/>
      <c r="CA12" s="15" t="s">
        <v>96</v>
      </c>
      <c r="CB12" s="15"/>
    </row>
    <row r="13" spans="1:80" x14ac:dyDescent="0.3">
      <c r="A13" s="15"/>
      <c r="B13" s="15"/>
      <c r="C13" s="4" t="s">
        <v>136</v>
      </c>
      <c r="D13" s="15" t="s">
        <v>16</v>
      </c>
      <c r="E13" s="15"/>
      <c r="F13" s="15" t="s">
        <v>138</v>
      </c>
      <c r="G13" s="15">
        <f>IF(F13="S",1,IF(F13="M",2,IF(F13="L",4,0)))</f>
        <v>2</v>
      </c>
      <c r="H13" s="15">
        <v>2</v>
      </c>
      <c r="I13" s="15" t="s">
        <v>111</v>
      </c>
      <c r="J13" s="15" t="s">
        <v>69</v>
      </c>
      <c r="K13" s="16" t="s">
        <v>115</v>
      </c>
      <c r="L13" s="16"/>
      <c r="M13" s="16"/>
      <c r="N13" s="16"/>
      <c r="O13" s="16" t="s">
        <v>115</v>
      </c>
      <c r="P13" s="37" t="str">
        <f>IF(COUNTIF($W13:$BX13,"F")=0,"",COUNTIF($W13:$BX13,"F"))</f>
        <v/>
      </c>
      <c r="Q13" s="37">
        <f t="shared" si="0"/>
        <v>6</v>
      </c>
      <c r="R13" s="37">
        <f t="shared" si="1"/>
        <v>2</v>
      </c>
      <c r="S13" s="37">
        <f t="shared" si="2"/>
        <v>5</v>
      </c>
      <c r="T13" s="37">
        <f t="shared" si="3"/>
        <v>5</v>
      </c>
      <c r="U13" s="37">
        <f t="shared" si="4"/>
        <v>4</v>
      </c>
      <c r="V13" s="43">
        <f t="shared" si="5"/>
        <v>22</v>
      </c>
      <c r="W13" s="22"/>
      <c r="X13" s="22"/>
      <c r="Y13" s="15"/>
      <c r="Z13" s="15"/>
      <c r="AA13" s="63"/>
      <c r="AB13" s="63"/>
      <c r="AC13" s="22"/>
      <c r="AD13" s="22"/>
      <c r="AE13" s="63"/>
      <c r="AF13" s="22"/>
      <c r="AG13" s="15"/>
      <c r="AH13" s="15"/>
      <c r="AI13" s="15"/>
      <c r="AJ13" s="15"/>
      <c r="AK13" s="22"/>
      <c r="AL13" s="22" t="s">
        <v>284</v>
      </c>
      <c r="AM13" s="22" t="s">
        <v>284</v>
      </c>
      <c r="AN13" s="22" t="s">
        <v>284</v>
      </c>
      <c r="AO13" s="15" t="s">
        <v>284</v>
      </c>
      <c r="AP13" s="15" t="s">
        <v>284</v>
      </c>
      <c r="AQ13" s="15" t="s">
        <v>284</v>
      </c>
      <c r="AR13" s="15" t="s">
        <v>297</v>
      </c>
      <c r="AS13" s="22" t="s">
        <v>297</v>
      </c>
      <c r="AT13" s="22"/>
      <c r="AU13" s="22"/>
      <c r="AV13" s="22" t="s">
        <v>282</v>
      </c>
      <c r="AW13" s="15" t="s">
        <v>282</v>
      </c>
      <c r="AX13" s="15" t="s">
        <v>282</v>
      </c>
      <c r="AY13" s="15" t="s">
        <v>282</v>
      </c>
      <c r="AZ13" s="15" t="s">
        <v>282</v>
      </c>
      <c r="BA13" s="22" t="s">
        <v>283</v>
      </c>
      <c r="BB13" s="22" t="s">
        <v>283</v>
      </c>
      <c r="BC13" s="22" t="s">
        <v>283</v>
      </c>
      <c r="BD13" s="22" t="s">
        <v>283</v>
      </c>
      <c r="BE13" s="15" t="s">
        <v>283</v>
      </c>
      <c r="BF13" s="15" t="s">
        <v>170</v>
      </c>
      <c r="BG13" s="15" t="s">
        <v>170</v>
      </c>
      <c r="BH13" s="15" t="s">
        <v>170</v>
      </c>
      <c r="BI13" s="22" t="s">
        <v>170</v>
      </c>
      <c r="BJ13" s="22"/>
      <c r="BK13" s="22"/>
      <c r="BL13" s="22"/>
      <c r="BM13" s="15"/>
      <c r="BN13" s="15"/>
      <c r="BO13" s="15"/>
      <c r="BP13" s="15"/>
      <c r="BQ13" s="22"/>
      <c r="BR13" s="22"/>
      <c r="BS13" s="22"/>
      <c r="BT13" s="22"/>
      <c r="BU13" s="15"/>
      <c r="BV13" s="15"/>
      <c r="BW13" s="15"/>
      <c r="BX13" s="15"/>
      <c r="BY13" s="22"/>
      <c r="BZ13" s="22"/>
      <c r="CA13" s="15"/>
      <c r="CB13" s="15"/>
    </row>
    <row r="14" spans="1:80" x14ac:dyDescent="0.3">
      <c r="A14" s="15"/>
      <c r="B14" s="15"/>
      <c r="C14" s="4" t="s">
        <v>228</v>
      </c>
      <c r="D14" s="15" t="s">
        <v>97</v>
      </c>
      <c r="E14" s="15"/>
      <c r="F14" s="15" t="s">
        <v>138</v>
      </c>
      <c r="G14" s="15">
        <f>IF(F14="S",1,IF(F14="M",2,IF(F14="L",4,0)))</f>
        <v>2</v>
      </c>
      <c r="H14" s="15">
        <v>2</v>
      </c>
      <c r="I14" s="15"/>
      <c r="J14" s="15" t="s">
        <v>69</v>
      </c>
      <c r="K14" s="16" t="s">
        <v>115</v>
      </c>
      <c r="L14" s="16" t="s">
        <v>115</v>
      </c>
      <c r="M14" s="16" t="s">
        <v>115</v>
      </c>
      <c r="N14" s="16" t="s">
        <v>115</v>
      </c>
      <c r="O14" s="16"/>
      <c r="P14" s="37" t="str">
        <f>IF(COUNTIF($W14:$BX14,"F")=0,"",COUNTIF($W14:$BX14,"F"))</f>
        <v/>
      </c>
      <c r="Q14" s="37">
        <f t="shared" si="0"/>
        <v>3</v>
      </c>
      <c r="R14" s="37">
        <f t="shared" si="1"/>
        <v>2</v>
      </c>
      <c r="S14" s="37">
        <f t="shared" si="2"/>
        <v>4</v>
      </c>
      <c r="T14" s="37">
        <f t="shared" si="3"/>
        <v>3</v>
      </c>
      <c r="U14" s="37">
        <f t="shared" si="4"/>
        <v>3</v>
      </c>
      <c r="V14" s="43">
        <f t="shared" si="5"/>
        <v>15</v>
      </c>
      <c r="W14" s="22"/>
      <c r="X14" s="22"/>
      <c r="Y14" s="15"/>
      <c r="Z14" s="15"/>
      <c r="AA14" s="63"/>
      <c r="AB14" s="63"/>
      <c r="AC14" s="22"/>
      <c r="AD14" s="22"/>
      <c r="AE14" s="63"/>
      <c r="AF14" s="22"/>
      <c r="AG14" s="15"/>
      <c r="AH14" s="15"/>
      <c r="AI14" s="15"/>
      <c r="AJ14" s="15"/>
      <c r="AK14" s="22"/>
      <c r="AL14" s="22"/>
      <c r="AM14" s="22"/>
      <c r="AN14" s="22"/>
      <c r="AO14" s="15"/>
      <c r="AP14" s="15"/>
      <c r="AQ14" s="15"/>
      <c r="AR14" s="15"/>
      <c r="AS14" s="22"/>
      <c r="AT14" s="22"/>
      <c r="AU14" s="22"/>
      <c r="AV14" s="42" t="s">
        <v>284</v>
      </c>
      <c r="AW14" s="40" t="s">
        <v>284</v>
      </c>
      <c r="AX14" s="40" t="s">
        <v>284</v>
      </c>
      <c r="AY14" s="15" t="s">
        <v>297</v>
      </c>
      <c r="AZ14" s="15" t="s">
        <v>297</v>
      </c>
      <c r="BA14" s="22" t="s">
        <v>282</v>
      </c>
      <c r="BB14" s="22" t="s">
        <v>282</v>
      </c>
      <c r="BC14" s="22" t="s">
        <v>282</v>
      </c>
      <c r="BD14" s="22" t="s">
        <v>282</v>
      </c>
      <c r="BE14" s="15" t="s">
        <v>283</v>
      </c>
      <c r="BF14" s="15" t="s">
        <v>283</v>
      </c>
      <c r="BG14" s="15" t="s">
        <v>283</v>
      </c>
      <c r="BH14" s="15" t="s">
        <v>170</v>
      </c>
      <c r="BI14" s="22" t="s">
        <v>170</v>
      </c>
      <c r="BJ14" s="22" t="s">
        <v>170</v>
      </c>
      <c r="BK14" s="22"/>
      <c r="BL14" s="22"/>
      <c r="BM14" s="15"/>
      <c r="BN14" s="15"/>
      <c r="BO14" s="15"/>
      <c r="BP14" s="15"/>
      <c r="BQ14" s="22"/>
      <c r="BR14" s="22"/>
      <c r="BS14" s="22"/>
      <c r="BT14" s="22"/>
      <c r="BU14" s="15"/>
      <c r="BV14" s="15"/>
      <c r="BW14" s="15"/>
      <c r="BX14" s="15"/>
      <c r="BY14" s="22"/>
      <c r="BZ14" s="22"/>
      <c r="CA14" s="15"/>
      <c r="CB14" s="15"/>
    </row>
    <row r="15" spans="1:80" x14ac:dyDescent="0.3">
      <c r="A15" s="15"/>
      <c r="B15" s="15"/>
      <c r="C15" s="4" t="s">
        <v>89</v>
      </c>
      <c r="D15" s="15" t="s">
        <v>16</v>
      </c>
      <c r="E15" s="15"/>
      <c r="F15" s="15" t="s">
        <v>138</v>
      </c>
      <c r="G15" s="15">
        <f>IF(F15="S",1,IF(F15="M",2,IF(F15="L",4,0)))</f>
        <v>2</v>
      </c>
      <c r="H15" s="15">
        <v>2</v>
      </c>
      <c r="I15" s="15" t="s">
        <v>111</v>
      </c>
      <c r="J15" s="15"/>
      <c r="K15" s="16" t="s">
        <v>115</v>
      </c>
      <c r="L15" s="16"/>
      <c r="M15" s="16"/>
      <c r="N15" s="16"/>
      <c r="O15" s="16"/>
      <c r="P15" s="37" t="str">
        <f>IF(COUNTIF($W15:$BX15,"F")=0,"",COUNTIF($W15:$BX15,"F"))</f>
        <v/>
      </c>
      <c r="Q15" s="37">
        <f t="shared" si="0"/>
        <v>6</v>
      </c>
      <c r="R15" s="37">
        <f t="shared" si="1"/>
        <v>2</v>
      </c>
      <c r="S15" s="37">
        <f t="shared" si="2"/>
        <v>6</v>
      </c>
      <c r="T15" s="37">
        <f t="shared" si="3"/>
        <v>4</v>
      </c>
      <c r="U15" s="37">
        <f t="shared" si="4"/>
        <v>4</v>
      </c>
      <c r="V15" s="43">
        <f t="shared" si="5"/>
        <v>22</v>
      </c>
      <c r="W15" s="22"/>
      <c r="X15" s="22"/>
      <c r="Y15" s="15"/>
      <c r="Z15" s="15"/>
      <c r="AA15" s="63"/>
      <c r="AB15" s="63"/>
      <c r="AC15" s="22"/>
      <c r="AD15" s="22"/>
      <c r="AE15" s="63"/>
      <c r="AF15" s="22"/>
      <c r="AG15" s="15"/>
      <c r="AH15" s="15"/>
      <c r="AI15" s="15"/>
      <c r="AJ15" s="15"/>
      <c r="AK15" s="22"/>
      <c r="AL15" s="22"/>
      <c r="AM15" s="22"/>
      <c r="AN15" s="22"/>
      <c r="AO15" s="15"/>
      <c r="AP15" s="15"/>
      <c r="AQ15" s="15" t="s">
        <v>284</v>
      </c>
      <c r="AR15" s="15" t="s">
        <v>284</v>
      </c>
      <c r="AS15" s="22" t="s">
        <v>284</v>
      </c>
      <c r="AT15" s="22" t="s">
        <v>284</v>
      </c>
      <c r="AU15" s="22" t="s">
        <v>284</v>
      </c>
      <c r="AV15" s="22" t="s">
        <v>284</v>
      </c>
      <c r="AW15" s="15" t="s">
        <v>297</v>
      </c>
      <c r="AX15" s="15" t="s">
        <v>297</v>
      </c>
      <c r="AY15" s="15"/>
      <c r="AZ15" s="15"/>
      <c r="BA15" s="22"/>
      <c r="BB15" s="22" t="s">
        <v>282</v>
      </c>
      <c r="BC15" s="22" t="s">
        <v>282</v>
      </c>
      <c r="BD15" s="22" t="s">
        <v>282</v>
      </c>
      <c r="BE15" s="15" t="s">
        <v>282</v>
      </c>
      <c r="BF15" s="15" t="s">
        <v>282</v>
      </c>
      <c r="BG15" s="15" t="s">
        <v>282</v>
      </c>
      <c r="BH15" s="15" t="s">
        <v>283</v>
      </c>
      <c r="BI15" s="22" t="s">
        <v>283</v>
      </c>
      <c r="BJ15" s="22" t="s">
        <v>283</v>
      </c>
      <c r="BK15" s="22" t="s">
        <v>283</v>
      </c>
      <c r="BL15" s="22" t="s">
        <v>170</v>
      </c>
      <c r="BM15" s="15" t="s">
        <v>170</v>
      </c>
      <c r="BN15" s="15" t="s">
        <v>170</v>
      </c>
      <c r="BO15" s="15" t="s">
        <v>170</v>
      </c>
      <c r="BP15" s="15"/>
      <c r="BQ15" s="22"/>
      <c r="BR15" s="22"/>
      <c r="BS15" s="22"/>
      <c r="BT15" s="22"/>
      <c r="BU15" s="15"/>
      <c r="BV15" s="15"/>
      <c r="BW15" s="15"/>
      <c r="BX15" s="15"/>
      <c r="BY15" s="22"/>
      <c r="BZ15" s="22"/>
      <c r="CA15" s="15"/>
      <c r="CB15" s="15"/>
    </row>
    <row r="16" spans="1:80" x14ac:dyDescent="0.3">
      <c r="A16" s="15"/>
      <c r="B16" s="15"/>
      <c r="C16" s="4" t="s">
        <v>234</v>
      </c>
      <c r="D16" s="15" t="s">
        <v>97</v>
      </c>
      <c r="E16" s="15"/>
      <c r="F16" s="15" t="s">
        <v>138</v>
      </c>
      <c r="G16" s="15">
        <f>IF(F16="S",1,IF(F16="M",2,IF(F16="L",4,0)))</f>
        <v>2</v>
      </c>
      <c r="H16" s="15">
        <v>2</v>
      </c>
      <c r="I16" s="15"/>
      <c r="J16" s="15" t="s">
        <v>69</v>
      </c>
      <c r="K16" s="16" t="s">
        <v>115</v>
      </c>
      <c r="L16" s="16" t="s">
        <v>115</v>
      </c>
      <c r="M16" s="16" t="s">
        <v>115</v>
      </c>
      <c r="N16" s="16" t="s">
        <v>115</v>
      </c>
      <c r="O16" s="16"/>
      <c r="P16" s="37" t="str">
        <f>IF(COUNTIF($W16:$BX16,"F")=0,"",COUNTIF($W16:$BX16,"F"))</f>
        <v/>
      </c>
      <c r="Q16" s="37">
        <f t="shared" si="0"/>
        <v>6</v>
      </c>
      <c r="R16" s="37">
        <f t="shared" si="1"/>
        <v>3</v>
      </c>
      <c r="S16" s="37">
        <f t="shared" si="2"/>
        <v>4</v>
      </c>
      <c r="T16" s="37">
        <f t="shared" si="3"/>
        <v>5</v>
      </c>
      <c r="U16" s="37">
        <f t="shared" si="4"/>
        <v>4</v>
      </c>
      <c r="V16" s="43">
        <f t="shared" si="5"/>
        <v>22</v>
      </c>
      <c r="W16" s="22"/>
      <c r="X16" s="22"/>
      <c r="Y16" s="15"/>
      <c r="Z16" s="15"/>
      <c r="AA16" s="63"/>
      <c r="AB16" s="63"/>
      <c r="AC16" s="22"/>
      <c r="AD16" s="22"/>
      <c r="AE16" s="63"/>
      <c r="AF16" s="38"/>
      <c r="AG16" s="39"/>
      <c r="AH16" s="39"/>
      <c r="AI16" s="39"/>
      <c r="AJ16" s="39"/>
      <c r="AK16" s="38"/>
      <c r="AL16" s="38"/>
      <c r="AM16" s="38"/>
      <c r="AN16" s="38"/>
      <c r="AO16" s="39" t="s">
        <v>284</v>
      </c>
      <c r="AP16" s="39" t="s">
        <v>284</v>
      </c>
      <c r="AQ16" s="39" t="s">
        <v>284</v>
      </c>
      <c r="AR16" s="39" t="s">
        <v>284</v>
      </c>
      <c r="AS16" s="38" t="s">
        <v>284</v>
      </c>
      <c r="AT16" s="38" t="s">
        <v>284</v>
      </c>
      <c r="AU16" s="38" t="s">
        <v>297</v>
      </c>
      <c r="AV16" s="38" t="s">
        <v>297</v>
      </c>
      <c r="AW16" s="39" t="s">
        <v>297</v>
      </c>
      <c r="AX16" s="39"/>
      <c r="AY16" s="39"/>
      <c r="AZ16" s="39"/>
      <c r="BA16" s="22"/>
      <c r="BB16" s="22" t="s">
        <v>282</v>
      </c>
      <c r="BC16" s="22" t="s">
        <v>282</v>
      </c>
      <c r="BD16" s="22" t="s">
        <v>282</v>
      </c>
      <c r="BE16" s="15" t="s">
        <v>282</v>
      </c>
      <c r="BF16" s="15" t="s">
        <v>283</v>
      </c>
      <c r="BG16" s="15" t="s">
        <v>283</v>
      </c>
      <c r="BH16" s="15" t="s">
        <v>283</v>
      </c>
      <c r="BI16" s="22" t="s">
        <v>283</v>
      </c>
      <c r="BJ16" s="22" t="s">
        <v>283</v>
      </c>
      <c r="BK16" s="22" t="s">
        <v>170</v>
      </c>
      <c r="BL16" s="22" t="s">
        <v>170</v>
      </c>
      <c r="BM16" s="15" t="s">
        <v>170</v>
      </c>
      <c r="BN16" s="15" t="s">
        <v>170</v>
      </c>
      <c r="BO16" s="15"/>
      <c r="BP16" s="15"/>
      <c r="BQ16" s="22"/>
      <c r="BR16" s="22"/>
      <c r="BS16" s="22"/>
      <c r="BT16" s="22"/>
      <c r="BU16" s="15"/>
      <c r="BV16" s="15"/>
      <c r="BW16" s="15"/>
      <c r="BX16" s="15"/>
      <c r="BY16" s="22"/>
      <c r="BZ16" s="22"/>
      <c r="CA16" s="15"/>
      <c r="CB16" s="15"/>
    </row>
    <row r="17" spans="1:80" x14ac:dyDescent="0.3">
      <c r="A17" s="15"/>
      <c r="B17" s="15"/>
      <c r="C17" s="4" t="s">
        <v>145</v>
      </c>
      <c r="D17" s="15"/>
      <c r="E17" s="15"/>
      <c r="F17" s="15"/>
      <c r="G17" s="15"/>
      <c r="H17" s="15"/>
      <c r="I17" s="15"/>
      <c r="J17" s="15"/>
      <c r="K17" s="16"/>
      <c r="L17" s="16"/>
      <c r="M17" s="16"/>
      <c r="N17" s="16"/>
      <c r="O17" s="16"/>
      <c r="P17" s="37"/>
      <c r="Q17" s="37">
        <f t="shared" si="0"/>
        <v>5</v>
      </c>
      <c r="R17" s="37">
        <f t="shared" si="1"/>
        <v>3</v>
      </c>
      <c r="S17" s="37">
        <f t="shared" si="2"/>
        <v>8</v>
      </c>
      <c r="T17" s="37">
        <f t="shared" si="3"/>
        <v>6</v>
      </c>
      <c r="U17" s="37">
        <f t="shared" si="4"/>
        <v>4</v>
      </c>
      <c r="V17" s="43">
        <f t="shared" si="5"/>
        <v>26</v>
      </c>
      <c r="W17" s="22"/>
      <c r="X17" s="22"/>
      <c r="Y17" s="15"/>
      <c r="Z17" s="15"/>
      <c r="AA17" s="63"/>
      <c r="AB17" s="63"/>
      <c r="AC17" s="22"/>
      <c r="AD17" s="22"/>
      <c r="AE17" s="63"/>
      <c r="AF17" s="22"/>
      <c r="AG17" s="15"/>
      <c r="AH17" s="15"/>
      <c r="AI17" s="15"/>
      <c r="AJ17" s="15"/>
      <c r="AK17" s="22"/>
      <c r="AL17" s="22"/>
      <c r="AM17" s="22"/>
      <c r="AN17" s="22"/>
      <c r="AO17" s="15"/>
      <c r="AP17" s="15"/>
      <c r="AQ17" s="15"/>
      <c r="AR17" s="15"/>
      <c r="AS17" s="22"/>
      <c r="AT17" s="22"/>
      <c r="AU17" s="22"/>
      <c r="AV17" s="22"/>
      <c r="AW17" s="15" t="s">
        <v>284</v>
      </c>
      <c r="AX17" s="15" t="s">
        <v>284</v>
      </c>
      <c r="AY17" s="15" t="s">
        <v>284</v>
      </c>
      <c r="AZ17" s="15" t="s">
        <v>284</v>
      </c>
      <c r="BA17" s="22" t="s">
        <v>284</v>
      </c>
      <c r="BB17" s="22" t="s">
        <v>297</v>
      </c>
      <c r="BC17" s="22" t="s">
        <v>297</v>
      </c>
      <c r="BD17" s="22" t="s">
        <v>297</v>
      </c>
      <c r="BE17" s="15" t="s">
        <v>282</v>
      </c>
      <c r="BF17" s="15" t="s">
        <v>282</v>
      </c>
      <c r="BG17" s="15" t="s">
        <v>282</v>
      </c>
      <c r="BH17" s="15" t="s">
        <v>282</v>
      </c>
      <c r="BI17" s="22" t="s">
        <v>282</v>
      </c>
      <c r="BJ17" s="22" t="s">
        <v>282</v>
      </c>
      <c r="BK17" s="22" t="s">
        <v>282</v>
      </c>
      <c r="BL17" s="22" t="s">
        <v>282</v>
      </c>
      <c r="BM17" s="15" t="s">
        <v>283</v>
      </c>
      <c r="BN17" s="15" t="s">
        <v>283</v>
      </c>
      <c r="BO17" s="15" t="s">
        <v>283</v>
      </c>
      <c r="BP17" s="15" t="s">
        <v>283</v>
      </c>
      <c r="BQ17" s="22" t="s">
        <v>283</v>
      </c>
      <c r="BR17" s="22" t="s">
        <v>283</v>
      </c>
      <c r="BS17" s="22" t="s">
        <v>170</v>
      </c>
      <c r="BT17" s="22" t="s">
        <v>170</v>
      </c>
      <c r="BU17" s="15" t="s">
        <v>170</v>
      </c>
      <c r="BV17" s="15" t="s">
        <v>170</v>
      </c>
      <c r="BW17" s="15"/>
      <c r="BX17" s="15"/>
      <c r="BY17" s="22"/>
      <c r="BZ17" s="22"/>
      <c r="CA17" s="15" t="s">
        <v>96</v>
      </c>
      <c r="CB17" s="15"/>
    </row>
    <row r="18" spans="1:80" x14ac:dyDescent="0.3">
      <c r="A18" s="15"/>
      <c r="B18" s="15"/>
      <c r="C18" s="4" t="s">
        <v>229</v>
      </c>
      <c r="D18" s="15" t="s">
        <v>16</v>
      </c>
      <c r="E18" s="15" t="s">
        <v>108</v>
      </c>
      <c r="F18" s="15" t="s">
        <v>139</v>
      </c>
      <c r="G18" s="15">
        <f t="shared" ref="G18:G26" si="6">IF(F18="S",1,IF(F18="M",2,IF(F18="L",4,0)))</f>
        <v>4</v>
      </c>
      <c r="H18" s="15">
        <v>4</v>
      </c>
      <c r="I18" s="15" t="s">
        <v>111</v>
      </c>
      <c r="J18" s="15"/>
      <c r="K18" s="16" t="s">
        <v>115</v>
      </c>
      <c r="L18" s="16" t="s">
        <v>115</v>
      </c>
      <c r="M18" s="16"/>
      <c r="N18" s="16"/>
      <c r="O18" s="16"/>
      <c r="P18" s="37" t="str">
        <f t="shared" ref="P18:P28" si="7">IF(COUNTIF($W18:$BX18,"F")=0,"",COUNTIF($W18:$BX18,"F"))</f>
        <v/>
      </c>
      <c r="Q18" s="37">
        <f t="shared" si="0"/>
        <v>7</v>
      </c>
      <c r="R18" s="37">
        <f t="shared" si="1"/>
        <v>3</v>
      </c>
      <c r="S18" s="37">
        <f t="shared" si="2"/>
        <v>8</v>
      </c>
      <c r="T18" s="37">
        <f t="shared" si="3"/>
        <v>6</v>
      </c>
      <c r="U18" s="37">
        <f t="shared" si="4"/>
        <v>4</v>
      </c>
      <c r="V18" s="43">
        <f t="shared" si="5"/>
        <v>28</v>
      </c>
      <c r="W18" s="22"/>
      <c r="X18" s="22"/>
      <c r="Y18" s="15"/>
      <c r="Z18" s="15"/>
      <c r="AA18" s="63"/>
      <c r="AB18" s="63"/>
      <c r="AC18" s="22"/>
      <c r="AD18" s="22"/>
      <c r="AE18" s="63"/>
      <c r="AF18" s="22"/>
      <c r="AG18" s="15"/>
      <c r="AH18" s="15"/>
      <c r="AI18" s="15"/>
      <c r="AJ18" s="15"/>
      <c r="AK18" s="22"/>
      <c r="AL18" s="22"/>
      <c r="AM18" s="22"/>
      <c r="AN18" s="22"/>
      <c r="AO18" s="15"/>
      <c r="AP18" s="15"/>
      <c r="AQ18" s="15"/>
      <c r="AR18" s="15"/>
      <c r="AS18" s="22"/>
      <c r="AT18" s="22"/>
      <c r="AU18" s="22"/>
      <c r="AV18" s="22"/>
      <c r="AW18" s="15"/>
      <c r="AX18" s="15" t="s">
        <v>284</v>
      </c>
      <c r="AY18" s="15" t="s">
        <v>284</v>
      </c>
      <c r="AZ18" s="15" t="s">
        <v>284</v>
      </c>
      <c r="BA18" s="22" t="s">
        <v>284</v>
      </c>
      <c r="BB18" s="22" t="s">
        <v>284</v>
      </c>
      <c r="BC18" s="22" t="s">
        <v>284</v>
      </c>
      <c r="BD18" s="22" t="s">
        <v>284</v>
      </c>
      <c r="BE18" s="15" t="s">
        <v>297</v>
      </c>
      <c r="BF18" s="15" t="s">
        <v>297</v>
      </c>
      <c r="BG18" s="15" t="s">
        <v>297</v>
      </c>
      <c r="BH18" s="15" t="s">
        <v>282</v>
      </c>
      <c r="BI18" s="22" t="s">
        <v>282</v>
      </c>
      <c r="BJ18" s="22" t="s">
        <v>282</v>
      </c>
      <c r="BK18" s="22" t="s">
        <v>282</v>
      </c>
      <c r="BL18" s="22" t="s">
        <v>282</v>
      </c>
      <c r="BM18" s="15" t="s">
        <v>282</v>
      </c>
      <c r="BN18" s="15" t="s">
        <v>282</v>
      </c>
      <c r="BO18" s="15" t="s">
        <v>282</v>
      </c>
      <c r="BP18" s="15" t="s">
        <v>283</v>
      </c>
      <c r="BQ18" s="22" t="s">
        <v>283</v>
      </c>
      <c r="BR18" s="22" t="s">
        <v>283</v>
      </c>
      <c r="BS18" s="22" t="s">
        <v>283</v>
      </c>
      <c r="BT18" s="22" t="s">
        <v>283</v>
      </c>
      <c r="BU18" s="15" t="s">
        <v>283</v>
      </c>
      <c r="BV18" s="15" t="s">
        <v>170</v>
      </c>
      <c r="BW18" s="15" t="s">
        <v>170</v>
      </c>
      <c r="BX18" s="15" t="s">
        <v>170</v>
      </c>
      <c r="BY18" s="22" t="s">
        <v>170</v>
      </c>
      <c r="BZ18" s="22"/>
      <c r="CA18" s="15"/>
      <c r="CB18" s="15"/>
    </row>
    <row r="19" spans="1:80" x14ac:dyDescent="0.3">
      <c r="A19" s="15"/>
      <c r="B19" s="15"/>
      <c r="C19" s="4" t="s">
        <v>91</v>
      </c>
      <c r="D19" s="15" t="s">
        <v>15</v>
      </c>
      <c r="E19" s="15"/>
      <c r="F19" s="15" t="s">
        <v>138</v>
      </c>
      <c r="G19" s="15">
        <f t="shared" si="6"/>
        <v>2</v>
      </c>
      <c r="H19" s="15">
        <v>2</v>
      </c>
      <c r="I19" s="15" t="s">
        <v>113</v>
      </c>
      <c r="J19" s="15" t="s">
        <v>69</v>
      </c>
      <c r="K19" s="16" t="s">
        <v>115</v>
      </c>
      <c r="L19" s="16" t="s">
        <v>115</v>
      </c>
      <c r="M19" s="16"/>
      <c r="N19" s="16"/>
      <c r="O19" s="16"/>
      <c r="P19" s="37" t="str">
        <f t="shared" si="7"/>
        <v/>
      </c>
      <c r="Q19" s="37">
        <f t="shared" si="0"/>
        <v>6</v>
      </c>
      <c r="R19" s="37">
        <f t="shared" si="1"/>
        <v>2</v>
      </c>
      <c r="S19" s="37">
        <f t="shared" si="2"/>
        <v>7</v>
      </c>
      <c r="T19" s="37">
        <f t="shared" si="3"/>
        <v>4</v>
      </c>
      <c r="U19" s="37">
        <f t="shared" si="4"/>
        <v>5</v>
      </c>
      <c r="V19" s="43">
        <f t="shared" si="5"/>
        <v>24</v>
      </c>
      <c r="W19" s="22"/>
      <c r="X19" s="22"/>
      <c r="Y19" s="15"/>
      <c r="Z19" s="15"/>
      <c r="AA19" s="63"/>
      <c r="AB19" s="63"/>
      <c r="AC19" s="22"/>
      <c r="AD19" s="22"/>
      <c r="AE19" s="63"/>
      <c r="AF19" s="22"/>
      <c r="AG19" s="15"/>
      <c r="AH19" s="15"/>
      <c r="AI19" s="15"/>
      <c r="AJ19" s="15"/>
      <c r="AK19" s="22"/>
      <c r="AL19" s="22"/>
      <c r="AM19" s="22"/>
      <c r="AN19" s="22"/>
      <c r="AO19" s="15"/>
      <c r="AP19" s="15"/>
      <c r="AQ19" s="15"/>
      <c r="AR19" s="15"/>
      <c r="AS19" s="22"/>
      <c r="AT19" s="22"/>
      <c r="AU19" s="22"/>
      <c r="AV19" s="22"/>
      <c r="AW19" s="15"/>
      <c r="AX19" s="15"/>
      <c r="AY19" s="15"/>
      <c r="AZ19" s="15"/>
      <c r="BA19" s="22"/>
      <c r="BB19" s="22" t="s">
        <v>284</v>
      </c>
      <c r="BC19" s="22" t="s">
        <v>284</v>
      </c>
      <c r="BD19" s="22" t="s">
        <v>284</v>
      </c>
      <c r="BE19" s="15" t="s">
        <v>284</v>
      </c>
      <c r="BF19" s="15" t="s">
        <v>284</v>
      </c>
      <c r="BG19" s="15" t="s">
        <v>284</v>
      </c>
      <c r="BH19" s="15" t="s">
        <v>297</v>
      </c>
      <c r="BI19" s="22" t="s">
        <v>297</v>
      </c>
      <c r="BJ19" s="22" t="s">
        <v>282</v>
      </c>
      <c r="BK19" s="22" t="s">
        <v>282</v>
      </c>
      <c r="BL19" s="22" t="s">
        <v>282</v>
      </c>
      <c r="BM19" s="15" t="s">
        <v>282</v>
      </c>
      <c r="BN19" s="15" t="s">
        <v>282</v>
      </c>
      <c r="BO19" s="15" t="s">
        <v>282</v>
      </c>
      <c r="BP19" s="15" t="s">
        <v>282</v>
      </c>
      <c r="BQ19" s="22" t="s">
        <v>283</v>
      </c>
      <c r="BR19" s="22" t="s">
        <v>283</v>
      </c>
      <c r="BS19" s="22" t="s">
        <v>283</v>
      </c>
      <c r="BT19" s="22" t="s">
        <v>283</v>
      </c>
      <c r="BU19" s="15" t="s">
        <v>170</v>
      </c>
      <c r="BV19" s="15" t="s">
        <v>170</v>
      </c>
      <c r="BW19" s="15" t="s">
        <v>170</v>
      </c>
      <c r="BX19" s="15" t="s">
        <v>170</v>
      </c>
      <c r="BY19" s="22" t="s">
        <v>170</v>
      </c>
      <c r="BZ19" s="22"/>
      <c r="CA19" s="15"/>
      <c r="CB19" s="15"/>
    </row>
    <row r="20" spans="1:80" x14ac:dyDescent="0.3">
      <c r="A20" s="15"/>
      <c r="B20" s="15"/>
      <c r="C20" s="4" t="s">
        <v>313</v>
      </c>
      <c r="D20" s="15" t="s">
        <v>174</v>
      </c>
      <c r="E20" s="15"/>
      <c r="F20" s="15" t="s">
        <v>138</v>
      </c>
      <c r="G20" s="15">
        <f t="shared" si="6"/>
        <v>2</v>
      </c>
      <c r="H20" s="15">
        <v>0</v>
      </c>
      <c r="I20" s="15" t="s">
        <v>192</v>
      </c>
      <c r="J20" s="15"/>
      <c r="K20" s="16"/>
      <c r="L20" s="16"/>
      <c r="M20" s="16" t="s">
        <v>115</v>
      </c>
      <c r="N20" s="16"/>
      <c r="O20" s="16"/>
      <c r="P20" s="37" t="str">
        <f t="shared" si="7"/>
        <v/>
      </c>
      <c r="Q20" s="37">
        <f t="shared" si="0"/>
        <v>3</v>
      </c>
      <c r="R20" s="37">
        <f t="shared" si="1"/>
        <v>2</v>
      </c>
      <c r="S20" s="37">
        <f t="shared" si="2"/>
        <v>3</v>
      </c>
      <c r="T20" s="37">
        <f t="shared" si="3"/>
        <v>3</v>
      </c>
      <c r="U20" s="37">
        <f t="shared" si="4"/>
        <v>4</v>
      </c>
      <c r="V20" s="43">
        <f t="shared" si="5"/>
        <v>15</v>
      </c>
      <c r="W20" s="22"/>
      <c r="X20" s="22"/>
      <c r="Y20" s="15"/>
      <c r="Z20" s="15"/>
      <c r="AA20" s="63"/>
      <c r="AB20" s="63"/>
      <c r="AC20" s="22"/>
      <c r="AD20" s="22"/>
      <c r="AE20" s="63"/>
      <c r="AF20" s="22"/>
      <c r="AG20" s="15"/>
      <c r="AH20" s="15"/>
      <c r="AI20" s="15"/>
      <c r="AJ20" s="15"/>
      <c r="AK20" s="22"/>
      <c r="AL20" s="22"/>
      <c r="AM20" s="22"/>
      <c r="AN20" s="22"/>
      <c r="AO20" s="15"/>
      <c r="AP20" s="15"/>
      <c r="AQ20" s="15"/>
      <c r="AR20" s="15"/>
      <c r="AS20" s="22"/>
      <c r="AT20" s="22"/>
      <c r="AU20" s="22"/>
      <c r="AV20" s="22"/>
      <c r="AW20" s="15"/>
      <c r="AX20" s="15"/>
      <c r="AY20" s="15"/>
      <c r="AZ20" s="15"/>
      <c r="BA20" s="22"/>
      <c r="BB20" s="22"/>
      <c r="BC20" s="22"/>
      <c r="BD20" s="22"/>
      <c r="BE20" s="15"/>
      <c r="BF20" s="15"/>
      <c r="BG20" s="15"/>
      <c r="BH20" s="15" t="s">
        <v>284</v>
      </c>
      <c r="BI20" s="22" t="s">
        <v>284</v>
      </c>
      <c r="BJ20" s="22" t="s">
        <v>284</v>
      </c>
      <c r="BK20" s="22" t="s">
        <v>297</v>
      </c>
      <c r="BL20" s="22" t="s">
        <v>297</v>
      </c>
      <c r="BM20" s="15" t="s">
        <v>282</v>
      </c>
      <c r="BN20" s="15" t="s">
        <v>282</v>
      </c>
      <c r="BO20" s="15" t="s">
        <v>282</v>
      </c>
      <c r="BP20" s="15" t="s">
        <v>283</v>
      </c>
      <c r="BQ20" s="22" t="s">
        <v>283</v>
      </c>
      <c r="BR20" s="22" t="s">
        <v>283</v>
      </c>
      <c r="BS20" s="22" t="s">
        <v>170</v>
      </c>
      <c r="BT20" s="22" t="s">
        <v>170</v>
      </c>
      <c r="BU20" s="15" t="s">
        <v>170</v>
      </c>
      <c r="BV20" s="15" t="s">
        <v>170</v>
      </c>
      <c r="BW20" s="15"/>
      <c r="BX20" s="15"/>
      <c r="BY20" s="22"/>
      <c r="BZ20" s="22"/>
      <c r="CA20" s="15"/>
      <c r="CB20" s="15"/>
    </row>
    <row r="21" spans="1:80" x14ac:dyDescent="0.3">
      <c r="A21" s="15"/>
      <c r="B21" s="15"/>
      <c r="C21" s="67" t="s">
        <v>308</v>
      </c>
      <c r="D21" s="15" t="s">
        <v>19</v>
      </c>
      <c r="E21" s="15"/>
      <c r="F21" s="15" t="s">
        <v>140</v>
      </c>
      <c r="G21" s="15">
        <f t="shared" si="6"/>
        <v>1</v>
      </c>
      <c r="H21" s="15">
        <v>1</v>
      </c>
      <c r="I21" s="15" t="s">
        <v>83</v>
      </c>
      <c r="J21" s="15" t="s">
        <v>69</v>
      </c>
      <c r="K21" s="16" t="s">
        <v>115</v>
      </c>
      <c r="L21" s="16"/>
      <c r="M21" s="16"/>
      <c r="N21" s="16"/>
      <c r="O21" s="16"/>
      <c r="P21" s="37" t="str">
        <f t="shared" si="7"/>
        <v/>
      </c>
      <c r="Q21" s="37">
        <f t="shared" si="0"/>
        <v>3</v>
      </c>
      <c r="R21" s="37">
        <f t="shared" si="1"/>
        <v>2</v>
      </c>
      <c r="S21" s="37">
        <f t="shared" si="2"/>
        <v>2</v>
      </c>
      <c r="T21" s="37">
        <f t="shared" si="3"/>
        <v>3</v>
      </c>
      <c r="U21" s="37">
        <f t="shared" si="4"/>
        <v>3</v>
      </c>
      <c r="V21" s="43">
        <f t="shared" si="5"/>
        <v>13</v>
      </c>
      <c r="W21" s="22"/>
      <c r="X21" s="22"/>
      <c r="Y21" s="15"/>
      <c r="Z21" s="15"/>
      <c r="AA21" s="63"/>
      <c r="AB21" s="63"/>
      <c r="AC21" s="22"/>
      <c r="AD21" s="22"/>
      <c r="AE21" s="63"/>
      <c r="AF21" s="22"/>
      <c r="AG21" s="15"/>
      <c r="AH21" s="15"/>
      <c r="AI21" s="15"/>
      <c r="AJ21" s="15"/>
      <c r="AK21" s="22"/>
      <c r="AL21" s="22"/>
      <c r="AM21" s="22"/>
      <c r="AN21" s="22"/>
      <c r="AO21" s="15"/>
      <c r="AP21" s="15"/>
      <c r="AQ21" s="15"/>
      <c r="AR21" s="15"/>
      <c r="AS21" s="22"/>
      <c r="AT21" s="22"/>
      <c r="AU21" s="22"/>
      <c r="AV21" s="22"/>
      <c r="AW21" s="15"/>
      <c r="AX21" s="15"/>
      <c r="AY21" s="15"/>
      <c r="AZ21" s="15"/>
      <c r="BA21" s="22"/>
      <c r="BB21" s="22"/>
      <c r="BC21" s="22"/>
      <c r="BD21" s="22"/>
      <c r="BE21" s="15"/>
      <c r="BF21" s="15"/>
      <c r="BG21" s="15"/>
      <c r="BH21" s="15"/>
      <c r="BI21" s="22"/>
      <c r="BJ21" s="22" t="s">
        <v>284</v>
      </c>
      <c r="BK21" s="22" t="s">
        <v>284</v>
      </c>
      <c r="BL21" s="22" t="s">
        <v>284</v>
      </c>
      <c r="BM21" s="15" t="s">
        <v>297</v>
      </c>
      <c r="BN21" s="15" t="s">
        <v>297</v>
      </c>
      <c r="BO21" s="15" t="s">
        <v>282</v>
      </c>
      <c r="BP21" s="15" t="s">
        <v>282</v>
      </c>
      <c r="BQ21" s="22" t="s">
        <v>283</v>
      </c>
      <c r="BR21" s="22" t="s">
        <v>283</v>
      </c>
      <c r="BS21" s="22" t="s">
        <v>283</v>
      </c>
      <c r="BT21" s="22" t="s">
        <v>170</v>
      </c>
      <c r="BU21" s="15" t="s">
        <v>170</v>
      </c>
      <c r="BV21" s="15" t="s">
        <v>170</v>
      </c>
      <c r="BW21" s="15"/>
      <c r="BX21" s="15"/>
      <c r="BY21" s="22"/>
      <c r="BZ21" s="22"/>
      <c r="CA21" s="15"/>
      <c r="CB21" s="15"/>
    </row>
    <row r="22" spans="1:80" ht="15" customHeight="1" x14ac:dyDescent="0.3">
      <c r="A22" s="15"/>
      <c r="B22" s="15"/>
      <c r="C22" s="4" t="s">
        <v>92</v>
      </c>
      <c r="D22" s="15" t="s">
        <v>15</v>
      </c>
      <c r="E22" s="15" t="s">
        <v>109</v>
      </c>
      <c r="F22" s="15" t="s">
        <v>140</v>
      </c>
      <c r="G22" s="15">
        <f t="shared" si="6"/>
        <v>1</v>
      </c>
      <c r="H22" s="15">
        <v>1</v>
      </c>
      <c r="I22" s="15" t="s">
        <v>113</v>
      </c>
      <c r="J22" s="15" t="s">
        <v>69</v>
      </c>
      <c r="K22" s="16" t="s">
        <v>115</v>
      </c>
      <c r="L22" s="16"/>
      <c r="M22" s="16"/>
      <c r="N22" s="16"/>
      <c r="O22" s="16"/>
      <c r="P22" s="37" t="str">
        <f t="shared" si="7"/>
        <v/>
      </c>
      <c r="Q22" s="37">
        <f t="shared" si="0"/>
        <v>3</v>
      </c>
      <c r="R22" s="37">
        <f t="shared" si="1"/>
        <v>2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43">
        <f t="shared" si="5"/>
        <v>5</v>
      </c>
      <c r="W22" s="42"/>
      <c r="X22" s="42"/>
      <c r="Y22" s="40"/>
      <c r="Z22" s="40"/>
      <c r="AA22" s="64"/>
      <c r="AB22" s="64"/>
      <c r="AC22" s="22"/>
      <c r="AD22" s="22"/>
      <c r="AE22" s="63"/>
      <c r="AF22" s="22"/>
      <c r="AG22" s="15"/>
      <c r="AH22" s="15"/>
      <c r="AI22" s="15"/>
      <c r="AJ22" s="15"/>
      <c r="AK22" s="22"/>
      <c r="AL22" s="22"/>
      <c r="AM22" s="22"/>
      <c r="AN22" s="22"/>
      <c r="AO22" s="15"/>
      <c r="AP22" s="15"/>
      <c r="AQ22" s="15"/>
      <c r="AR22" s="15"/>
      <c r="AS22" s="22"/>
      <c r="AT22" s="22"/>
      <c r="AU22" s="22"/>
      <c r="AV22" s="22"/>
      <c r="AW22" s="15"/>
      <c r="AX22" s="15"/>
      <c r="AY22" s="15"/>
      <c r="AZ22" s="15"/>
      <c r="BA22" s="22"/>
      <c r="BB22" s="22"/>
      <c r="BC22" s="22"/>
      <c r="BD22" s="22"/>
      <c r="BE22" s="15"/>
      <c r="BF22" s="15"/>
      <c r="BG22" s="15"/>
      <c r="BH22" s="15"/>
      <c r="BI22" s="22"/>
      <c r="BJ22" s="22"/>
      <c r="BK22" s="22"/>
      <c r="BL22" s="22"/>
      <c r="BM22" s="15"/>
      <c r="BN22" s="15"/>
      <c r="BO22" s="15"/>
      <c r="BP22" s="15"/>
      <c r="BQ22" s="22"/>
      <c r="BR22" s="22"/>
      <c r="BS22" s="22"/>
      <c r="BT22" s="22" t="s">
        <v>284</v>
      </c>
      <c r="BU22" s="15" t="s">
        <v>284</v>
      </c>
      <c r="BV22" s="15" t="s">
        <v>284</v>
      </c>
      <c r="BW22" s="15" t="s">
        <v>297</v>
      </c>
      <c r="BX22" s="15" t="s">
        <v>297</v>
      </c>
      <c r="BY22" s="22"/>
      <c r="BZ22" s="22"/>
      <c r="CA22" s="15" t="s">
        <v>96</v>
      </c>
      <c r="CB22" s="15"/>
    </row>
    <row r="23" spans="1:80" x14ac:dyDescent="0.3">
      <c r="A23" s="15"/>
      <c r="B23" s="15"/>
      <c r="C23" s="4"/>
      <c r="D23" s="15" t="s">
        <v>13</v>
      </c>
      <c r="E23" s="15"/>
      <c r="F23" s="15" t="s">
        <v>138</v>
      </c>
      <c r="G23" s="15">
        <f t="shared" si="6"/>
        <v>2</v>
      </c>
      <c r="H23" s="15">
        <v>1</v>
      </c>
      <c r="I23" s="15" t="s">
        <v>191</v>
      </c>
      <c r="J23" s="15"/>
      <c r="K23" s="16" t="s">
        <v>115</v>
      </c>
      <c r="L23" s="16"/>
      <c r="M23" s="16" t="s">
        <v>115</v>
      </c>
      <c r="N23" s="16"/>
      <c r="O23" s="16"/>
      <c r="P23" s="37" t="str">
        <f t="shared" si="7"/>
        <v/>
      </c>
      <c r="Q23" s="37" t="str">
        <f t="shared" si="0"/>
        <v/>
      </c>
      <c r="R23" s="37" t="str">
        <f t="shared" si="1"/>
        <v/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43" t="str">
        <f t="shared" si="5"/>
        <v/>
      </c>
      <c r="W23" s="22"/>
      <c r="X23" s="22"/>
      <c r="Y23" s="15"/>
      <c r="Z23" s="15"/>
      <c r="AA23" s="63"/>
      <c r="AB23" s="63"/>
      <c r="AC23" s="22"/>
      <c r="AD23" s="22"/>
      <c r="AE23" s="63"/>
      <c r="AF23" s="22"/>
      <c r="AG23" s="15"/>
      <c r="AH23" s="15"/>
      <c r="AI23" s="15"/>
      <c r="AJ23" s="15"/>
      <c r="AK23" s="22"/>
      <c r="AL23" s="22"/>
      <c r="AM23" s="22"/>
      <c r="AN23" s="22"/>
      <c r="AO23" s="15"/>
      <c r="AP23" s="15"/>
      <c r="AQ23" s="15"/>
      <c r="AR23" s="15"/>
      <c r="AS23" s="22"/>
      <c r="AT23" s="22"/>
      <c r="AU23" s="22"/>
      <c r="AV23" s="22"/>
      <c r="AW23" s="15"/>
      <c r="AX23" s="15"/>
      <c r="AY23" s="15"/>
      <c r="AZ23" s="15"/>
      <c r="BA23" s="22"/>
      <c r="BB23" s="22"/>
      <c r="BC23" s="22"/>
      <c r="BD23" s="22"/>
      <c r="BE23" s="15"/>
      <c r="BF23" s="15"/>
      <c r="BG23" s="15"/>
      <c r="BH23" s="15"/>
      <c r="BI23" s="22"/>
      <c r="BJ23" s="22"/>
      <c r="BK23" s="22"/>
      <c r="BL23" s="22"/>
      <c r="BM23" s="15"/>
      <c r="BN23" s="15"/>
      <c r="BO23" s="15"/>
      <c r="BP23" s="15"/>
      <c r="BQ23" s="22"/>
      <c r="BR23" s="22"/>
      <c r="BS23" s="22"/>
      <c r="BT23" s="22"/>
      <c r="BU23" s="15"/>
      <c r="BV23" s="15"/>
      <c r="BW23" s="15"/>
      <c r="BX23" s="15"/>
      <c r="BY23" s="22"/>
      <c r="BZ23" s="22"/>
      <c r="CA23" s="15"/>
      <c r="CB23" s="15"/>
    </row>
    <row r="24" spans="1:80" x14ac:dyDescent="0.3">
      <c r="A24" s="15"/>
      <c r="B24" s="15"/>
      <c r="C24" s="4"/>
      <c r="D24" s="15" t="s">
        <v>19</v>
      </c>
      <c r="E24" s="15"/>
      <c r="F24" s="15" t="s">
        <v>138</v>
      </c>
      <c r="G24" s="15">
        <f t="shared" si="6"/>
        <v>2</v>
      </c>
      <c r="H24" s="15">
        <v>1</v>
      </c>
      <c r="I24" s="15" t="s">
        <v>83</v>
      </c>
      <c r="J24" s="15"/>
      <c r="K24" s="16" t="s">
        <v>115</v>
      </c>
      <c r="L24" s="16"/>
      <c r="M24" s="16"/>
      <c r="N24" s="16"/>
      <c r="O24" s="16"/>
      <c r="P24" s="37" t="str">
        <f t="shared" si="7"/>
        <v/>
      </c>
      <c r="Q24" s="37" t="str">
        <f t="shared" si="0"/>
        <v/>
      </c>
      <c r="R24" s="37" t="str">
        <f t="shared" si="1"/>
        <v/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43" t="str">
        <f t="shared" si="5"/>
        <v/>
      </c>
      <c r="W24" s="22"/>
      <c r="X24" s="22"/>
      <c r="Y24" s="15"/>
      <c r="Z24" s="15"/>
      <c r="AA24" s="63"/>
      <c r="AB24" s="63"/>
      <c r="AC24" s="22"/>
      <c r="AD24" s="22"/>
      <c r="AE24" s="63"/>
      <c r="AF24" s="22"/>
      <c r="AG24" s="15"/>
      <c r="AH24" s="15"/>
      <c r="AI24" s="15"/>
      <c r="AJ24" s="15"/>
      <c r="AK24" s="22"/>
      <c r="AL24" s="22"/>
      <c r="AM24" s="22"/>
      <c r="AN24" s="22"/>
      <c r="AO24" s="15"/>
      <c r="AP24" s="15"/>
      <c r="AQ24" s="15"/>
      <c r="AR24" s="15"/>
      <c r="AS24" s="22"/>
      <c r="AT24" s="22"/>
      <c r="AU24" s="22"/>
      <c r="AV24" s="22"/>
      <c r="AW24" s="15"/>
      <c r="AX24" s="15"/>
      <c r="AY24" s="15"/>
      <c r="AZ24" s="15"/>
      <c r="BA24" s="22"/>
      <c r="BB24" s="22"/>
      <c r="BC24" s="22"/>
      <c r="BD24" s="22"/>
      <c r="BE24" s="15"/>
      <c r="BF24" s="15"/>
      <c r="BG24" s="15"/>
      <c r="BH24" s="15"/>
      <c r="BI24" s="22"/>
      <c r="BJ24" s="22"/>
      <c r="BK24" s="22"/>
      <c r="BL24" s="22"/>
      <c r="BM24" s="15"/>
      <c r="BN24" s="15"/>
      <c r="BO24" s="15"/>
      <c r="BP24" s="15"/>
      <c r="BQ24" s="22"/>
      <c r="BR24" s="22"/>
      <c r="BS24" s="22"/>
      <c r="BT24" s="22"/>
      <c r="BU24" s="15"/>
      <c r="BV24" s="15"/>
      <c r="BW24" s="15"/>
      <c r="BX24" s="15"/>
      <c r="BY24" s="22"/>
      <c r="BZ24" s="22"/>
      <c r="CA24" s="15"/>
      <c r="CB24" s="15"/>
    </row>
    <row r="25" spans="1:80" ht="15" customHeight="1" x14ac:dyDescent="0.3">
      <c r="A25" s="15"/>
      <c r="B25" s="15"/>
      <c r="C25" s="4"/>
      <c r="D25" s="15" t="s">
        <v>19</v>
      </c>
      <c r="E25" s="15"/>
      <c r="F25" s="15" t="s">
        <v>139</v>
      </c>
      <c r="G25" s="15">
        <f t="shared" si="6"/>
        <v>4</v>
      </c>
      <c r="H25" s="15">
        <v>4</v>
      </c>
      <c r="I25" s="15" t="s">
        <v>83</v>
      </c>
      <c r="J25" s="15" t="s">
        <v>69</v>
      </c>
      <c r="K25" s="16" t="s">
        <v>115</v>
      </c>
      <c r="L25" s="16"/>
      <c r="M25" s="16"/>
      <c r="N25" s="16" t="s">
        <v>115</v>
      </c>
      <c r="O25" s="16"/>
      <c r="P25" s="37" t="str">
        <f t="shared" si="7"/>
        <v/>
      </c>
      <c r="Q25" s="37" t="str">
        <f t="shared" si="0"/>
        <v/>
      </c>
      <c r="R25" s="37" t="str">
        <f t="shared" si="1"/>
        <v/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43" t="str">
        <f t="shared" si="5"/>
        <v/>
      </c>
      <c r="W25" s="22"/>
      <c r="X25" s="22"/>
      <c r="Y25" s="15"/>
      <c r="Z25" s="15"/>
      <c r="AA25" s="63"/>
      <c r="AB25" s="63"/>
      <c r="AC25" s="22"/>
      <c r="AD25" s="22"/>
      <c r="AE25" s="63"/>
      <c r="AF25" s="22"/>
      <c r="AG25" s="15"/>
      <c r="AH25" s="15"/>
      <c r="AI25" s="15"/>
      <c r="AJ25" s="15"/>
      <c r="AK25" s="22"/>
      <c r="AL25" s="22"/>
      <c r="AM25" s="22"/>
      <c r="AN25" s="22"/>
      <c r="AO25" s="15"/>
      <c r="AP25" s="15"/>
      <c r="AQ25" s="15"/>
      <c r="AR25" s="15"/>
      <c r="AS25" s="22"/>
      <c r="AT25" s="22"/>
      <c r="AU25" s="22"/>
      <c r="AV25" s="22"/>
      <c r="AW25" s="15"/>
      <c r="AX25" s="15"/>
      <c r="AY25" s="15"/>
      <c r="AZ25" s="15"/>
      <c r="BA25" s="22"/>
      <c r="BB25" s="22"/>
      <c r="BC25" s="22"/>
      <c r="BD25" s="22"/>
      <c r="BE25" s="15"/>
      <c r="BF25" s="15"/>
      <c r="BG25" s="15"/>
      <c r="BH25" s="15"/>
      <c r="BI25" s="22"/>
      <c r="BJ25" s="22"/>
      <c r="BK25" s="22"/>
      <c r="BL25" s="22"/>
      <c r="BM25" s="15"/>
      <c r="BN25" s="15"/>
      <c r="BO25" s="15"/>
      <c r="BP25" s="15"/>
      <c r="BQ25" s="22"/>
      <c r="BR25" s="22"/>
      <c r="BS25" s="22"/>
      <c r="BT25" s="22"/>
      <c r="BU25" s="15"/>
      <c r="BV25" s="15"/>
      <c r="BW25" s="15"/>
      <c r="BX25" s="15"/>
      <c r="BY25" s="22"/>
      <c r="BZ25" s="22"/>
      <c r="CA25" s="15"/>
      <c r="CB25" s="15"/>
    </row>
    <row r="26" spans="1:80" x14ac:dyDescent="0.3">
      <c r="A26" s="15"/>
      <c r="B26" s="15"/>
      <c r="C26" s="4"/>
      <c r="D26" s="15" t="s">
        <v>21</v>
      </c>
      <c r="E26" s="15"/>
      <c r="F26" s="15" t="s">
        <v>139</v>
      </c>
      <c r="G26" s="15">
        <f t="shared" si="6"/>
        <v>4</v>
      </c>
      <c r="H26" s="15">
        <v>4</v>
      </c>
      <c r="I26" s="15" t="s">
        <v>134</v>
      </c>
      <c r="J26" s="15" t="s">
        <v>69</v>
      </c>
      <c r="K26" s="16" t="s">
        <v>115</v>
      </c>
      <c r="L26" s="16"/>
      <c r="M26" s="16"/>
      <c r="N26" s="16"/>
      <c r="O26" s="16"/>
      <c r="P26" s="37" t="str">
        <f t="shared" si="7"/>
        <v/>
      </c>
      <c r="Q26" s="37" t="str">
        <f t="shared" si="0"/>
        <v/>
      </c>
      <c r="R26" s="37" t="str">
        <f t="shared" si="1"/>
        <v/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43" t="str">
        <f t="shared" si="5"/>
        <v/>
      </c>
      <c r="W26" s="22"/>
      <c r="X26" s="22"/>
      <c r="Y26" s="15"/>
      <c r="Z26" s="15"/>
      <c r="AA26" s="63"/>
      <c r="AB26" s="63"/>
      <c r="AC26" s="22"/>
      <c r="AD26" s="22"/>
      <c r="AE26" s="63"/>
      <c r="AF26" s="22"/>
      <c r="AG26" s="15"/>
      <c r="AH26" s="15"/>
      <c r="AI26" s="15"/>
      <c r="AJ26" s="15"/>
      <c r="AK26" s="22"/>
      <c r="AL26" s="22"/>
      <c r="AM26" s="22"/>
      <c r="AN26" s="22"/>
      <c r="AO26" s="15"/>
      <c r="AP26" s="15"/>
      <c r="AQ26" s="15"/>
      <c r="AR26" s="15"/>
      <c r="AS26" s="22"/>
      <c r="AT26" s="22"/>
      <c r="AU26" s="22"/>
      <c r="AV26" s="22"/>
      <c r="AW26" s="15"/>
      <c r="AX26" s="15"/>
      <c r="AY26" s="15"/>
      <c r="AZ26" s="15"/>
      <c r="BA26" s="22"/>
      <c r="BB26" s="22"/>
      <c r="BC26" s="22"/>
      <c r="BD26" s="22"/>
      <c r="BE26" s="15"/>
      <c r="BF26" s="15"/>
      <c r="BG26" s="15"/>
      <c r="BH26" s="15"/>
      <c r="BI26" s="22"/>
      <c r="BJ26" s="22"/>
      <c r="BK26" s="22"/>
      <c r="BL26" s="22"/>
      <c r="BM26" s="15"/>
      <c r="BN26" s="15"/>
      <c r="BO26" s="15"/>
      <c r="BP26" s="15"/>
      <c r="BQ26" s="22"/>
      <c r="BR26" s="22"/>
      <c r="BS26" s="22"/>
      <c r="BT26" s="22"/>
      <c r="BU26" s="15"/>
      <c r="BV26" s="15"/>
      <c r="BW26" s="15"/>
      <c r="BX26" s="15"/>
      <c r="BY26" s="22"/>
      <c r="BZ26" s="22"/>
      <c r="CA26" s="15"/>
      <c r="CB26" s="15"/>
    </row>
    <row r="27" spans="1:80" x14ac:dyDescent="0.3">
      <c r="A27" s="15"/>
      <c r="B27" s="15"/>
      <c r="C27" s="3"/>
      <c r="D27" s="15"/>
      <c r="E27" s="15"/>
      <c r="F27" s="15"/>
      <c r="G27" s="15"/>
      <c r="H27" s="15"/>
      <c r="I27" s="15"/>
      <c r="J27" s="28"/>
      <c r="K27" s="16"/>
      <c r="L27" s="16"/>
      <c r="M27" s="16"/>
      <c r="N27" s="16"/>
      <c r="O27" s="16"/>
      <c r="P27" s="37" t="str">
        <f t="shared" si="7"/>
        <v/>
      </c>
      <c r="Q27" s="37" t="str">
        <f>IF(COUNTIF($W27:$BX27,"A")=0,"",COUNTIF($W27:$BX27,"A"))</f>
        <v/>
      </c>
      <c r="R27" s="37" t="str">
        <f>IF(COUNTIF($W27:$BX27,"C")=0,"",COUNTIF($W27:$BX27,"C"))</f>
        <v/>
      </c>
      <c r="S27" s="37" t="str">
        <f>IF(COUNTIF($W27:$BX27,"D")=0,"",COUNTIF($W27:$BX27,"D"))</f>
        <v/>
      </c>
      <c r="T27" s="37" t="str">
        <f>IF(COUNTIF($W27:$BX27,"P")=0,"",COUNTIF($W27:$BX27,"P"))</f>
        <v/>
      </c>
      <c r="U27" s="37" t="str">
        <f>IF(COUNTIF($W27:$BX27,"R")=0,"",COUNTIF($W27:$BX27,"R"))</f>
        <v/>
      </c>
      <c r="V27" s="43" t="str">
        <f t="shared" si="5"/>
        <v/>
      </c>
      <c r="W27" s="42"/>
      <c r="X27" s="42"/>
      <c r="Y27" s="40"/>
      <c r="Z27" s="40"/>
      <c r="AA27" s="64"/>
      <c r="AB27" s="64"/>
      <c r="AC27" s="22"/>
      <c r="AD27" s="22"/>
      <c r="AE27" s="63"/>
      <c r="AF27" s="22"/>
      <c r="AG27" s="15"/>
      <c r="AH27" s="15"/>
      <c r="AI27" s="15"/>
      <c r="AJ27" s="15"/>
      <c r="AK27" s="22"/>
      <c r="AL27" s="22"/>
      <c r="AM27" s="22"/>
      <c r="AN27" s="22"/>
      <c r="AO27" s="15"/>
      <c r="AP27" s="15"/>
      <c r="AQ27" s="15"/>
      <c r="AR27" s="15"/>
      <c r="AS27" s="22"/>
      <c r="AT27" s="22"/>
      <c r="AU27" s="22"/>
      <c r="AV27" s="22"/>
      <c r="AW27" s="15"/>
      <c r="AX27" s="15"/>
      <c r="AY27" s="15"/>
      <c r="AZ27" s="15"/>
      <c r="BA27" s="22"/>
      <c r="BB27" s="22"/>
      <c r="BC27" s="22"/>
      <c r="BD27" s="22"/>
      <c r="BE27" s="15"/>
      <c r="BF27" s="15"/>
      <c r="BG27" s="15"/>
      <c r="BH27" s="15"/>
      <c r="BI27" s="22"/>
      <c r="BJ27" s="22"/>
      <c r="BK27" s="22"/>
      <c r="BL27" s="22"/>
      <c r="BM27" s="15"/>
      <c r="BN27" s="15"/>
      <c r="BO27" s="15"/>
      <c r="BP27" s="15"/>
      <c r="BQ27" s="22"/>
      <c r="BR27" s="22"/>
      <c r="BS27" s="22"/>
      <c r="BT27" s="22"/>
      <c r="BU27" s="15"/>
      <c r="BV27" s="15"/>
      <c r="BW27" s="15"/>
      <c r="BX27" s="15"/>
      <c r="BY27" s="22"/>
      <c r="BZ27" s="22"/>
      <c r="CA27" s="15"/>
      <c r="CB27" s="15"/>
    </row>
    <row r="28" spans="1:80" x14ac:dyDescent="0.3">
      <c r="A28" s="15"/>
      <c r="B28" s="15"/>
      <c r="C28" s="3"/>
      <c r="D28" s="15"/>
      <c r="E28" s="15"/>
      <c r="F28" s="15"/>
      <c r="G28" s="15"/>
      <c r="H28" s="15"/>
      <c r="I28" s="15"/>
      <c r="J28" s="28"/>
      <c r="K28" s="16"/>
      <c r="L28" s="16"/>
      <c r="M28" s="16"/>
      <c r="N28" s="16"/>
      <c r="O28" s="16"/>
      <c r="P28" s="37" t="str">
        <f t="shared" si="7"/>
        <v/>
      </c>
      <c r="Q28" s="37" t="str">
        <f>IF(COUNTIF($W28:$BX28,"A")=0,"",COUNTIF($W28:$BX28,"A"))</f>
        <v/>
      </c>
      <c r="R28" s="37" t="str">
        <f>IF(COUNTIF($W28:$BX28,"C")=0,"",COUNTIF($W28:$BX28,"C"))</f>
        <v/>
      </c>
      <c r="S28" s="37" t="str">
        <f>IF(COUNTIF($W28:$BX28,"D")=0,"",COUNTIF($W28:$BX28,"D"))</f>
        <v/>
      </c>
      <c r="T28" s="37" t="str">
        <f>IF(COUNTIF($W28:$BX28,"P")=0,"",COUNTIF($W28:$BX28,"P"))</f>
        <v/>
      </c>
      <c r="U28" s="37" t="str">
        <f>IF(COUNTIF($W28:$BX28,"R")=0,"",COUNTIF($W28:$BX28,"R"))</f>
        <v/>
      </c>
      <c r="V28" s="43" t="str">
        <f t="shared" si="5"/>
        <v/>
      </c>
      <c r="W28" s="42"/>
      <c r="X28" s="42"/>
      <c r="Y28" s="40"/>
      <c r="Z28" s="40"/>
      <c r="AA28" s="64"/>
      <c r="AB28" s="64"/>
      <c r="AC28" s="22"/>
      <c r="AD28" s="22"/>
      <c r="AE28" s="63"/>
      <c r="AF28" s="22"/>
      <c r="AG28" s="15"/>
      <c r="AH28" s="15"/>
      <c r="AI28" s="15"/>
      <c r="AJ28" s="15"/>
      <c r="AK28" s="22"/>
      <c r="AL28" s="22"/>
      <c r="AM28" s="22"/>
      <c r="AN28" s="22"/>
      <c r="AO28" s="15"/>
      <c r="AP28" s="15"/>
      <c r="AQ28" s="15"/>
      <c r="AR28" s="15"/>
      <c r="AS28" s="22"/>
      <c r="AT28" s="22"/>
      <c r="AU28" s="22"/>
      <c r="AV28" s="22"/>
      <c r="AW28" s="15"/>
      <c r="AX28" s="15"/>
      <c r="AY28" s="15"/>
      <c r="AZ28" s="15"/>
      <c r="BA28" s="22"/>
      <c r="BB28" s="22"/>
      <c r="BC28" s="22"/>
      <c r="BD28" s="22"/>
      <c r="BE28" s="15"/>
      <c r="BF28" s="15"/>
      <c r="BG28" s="15"/>
      <c r="BH28" s="15"/>
      <c r="BI28" s="22"/>
      <c r="BJ28" s="22"/>
      <c r="BK28" s="22"/>
      <c r="BL28" s="22"/>
      <c r="BM28" s="15"/>
      <c r="BN28" s="15"/>
      <c r="BO28" s="15"/>
      <c r="BP28" s="15"/>
      <c r="BQ28" s="22"/>
      <c r="BR28" s="22"/>
      <c r="BS28" s="22"/>
      <c r="BT28" s="22"/>
      <c r="BU28" s="15"/>
      <c r="BV28" s="15"/>
      <c r="BW28" s="15"/>
      <c r="BX28" s="15"/>
      <c r="BY28" s="22"/>
      <c r="BZ28" s="22"/>
      <c r="CA28" s="15"/>
      <c r="CB28" s="15"/>
    </row>
    <row r="29" spans="1:80" x14ac:dyDescent="0.3"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</row>
    <row r="30" spans="1:80" x14ac:dyDescent="0.3">
      <c r="V30" s="58" t="s">
        <v>284</v>
      </c>
      <c r="W30" s="58" t="str">
        <f t="shared" ref="W30:BB30" si="8">IF(COUNTIF(W$4:W$28,$V$30)=0,"",COUNTIF(W$4:W$28,$V$30))</f>
        <v/>
      </c>
      <c r="X30" s="58">
        <f t="shared" si="8"/>
        <v>1</v>
      </c>
      <c r="Y30" s="58">
        <f t="shared" si="8"/>
        <v>2</v>
      </c>
      <c r="Z30" s="58">
        <f t="shared" si="8"/>
        <v>2</v>
      </c>
      <c r="AA30" s="45" t="str">
        <f t="shared" si="8"/>
        <v/>
      </c>
      <c r="AB30" s="45" t="str">
        <f t="shared" si="8"/>
        <v/>
      </c>
      <c r="AC30" s="61">
        <f t="shared" si="8"/>
        <v>5</v>
      </c>
      <c r="AD30" s="60">
        <f t="shared" si="8"/>
        <v>5</v>
      </c>
      <c r="AE30" s="62" t="str">
        <f t="shared" si="8"/>
        <v/>
      </c>
      <c r="AF30" s="59">
        <f t="shared" si="8"/>
        <v>5</v>
      </c>
      <c r="AG30" s="61">
        <f t="shared" si="8"/>
        <v>2</v>
      </c>
      <c r="AH30" s="60">
        <f t="shared" si="8"/>
        <v>2</v>
      </c>
      <c r="AI30" s="60">
        <f t="shared" si="8"/>
        <v>2</v>
      </c>
      <c r="AJ30" s="59">
        <f t="shared" si="8"/>
        <v>2</v>
      </c>
      <c r="AK30" s="61">
        <f t="shared" si="8"/>
        <v>3</v>
      </c>
      <c r="AL30" s="60">
        <f t="shared" si="8"/>
        <v>4</v>
      </c>
      <c r="AM30" s="60">
        <f t="shared" si="8"/>
        <v>3</v>
      </c>
      <c r="AN30" s="59">
        <f t="shared" si="8"/>
        <v>3</v>
      </c>
      <c r="AO30" s="61">
        <f t="shared" si="8"/>
        <v>4</v>
      </c>
      <c r="AP30" s="60">
        <f t="shared" si="8"/>
        <v>4</v>
      </c>
      <c r="AQ30" s="60">
        <f t="shared" si="8"/>
        <v>3</v>
      </c>
      <c r="AR30" s="59">
        <f t="shared" si="8"/>
        <v>2</v>
      </c>
      <c r="AS30" s="61">
        <f t="shared" si="8"/>
        <v>2</v>
      </c>
      <c r="AT30" s="60">
        <f t="shared" si="8"/>
        <v>2</v>
      </c>
      <c r="AU30" s="60">
        <f t="shared" si="8"/>
        <v>1</v>
      </c>
      <c r="AV30" s="59">
        <f t="shared" si="8"/>
        <v>2</v>
      </c>
      <c r="AW30" s="61">
        <f t="shared" si="8"/>
        <v>2</v>
      </c>
      <c r="AX30" s="60">
        <f t="shared" si="8"/>
        <v>3</v>
      </c>
      <c r="AY30" s="60">
        <f t="shared" si="8"/>
        <v>2</v>
      </c>
      <c r="AZ30" s="59">
        <f t="shared" si="8"/>
        <v>2</v>
      </c>
      <c r="BA30" s="61">
        <f t="shared" si="8"/>
        <v>2</v>
      </c>
      <c r="BB30" s="60">
        <f t="shared" si="8"/>
        <v>2</v>
      </c>
      <c r="BC30" s="60">
        <f t="shared" ref="BC30:BZ30" si="9">IF(COUNTIF(BC$4:BC$28,$V$30)=0,"",COUNTIF(BC$4:BC$28,$V$30))</f>
        <v>2</v>
      </c>
      <c r="BD30" s="59">
        <f t="shared" si="9"/>
        <v>2</v>
      </c>
      <c r="BE30" s="61">
        <f t="shared" si="9"/>
        <v>1</v>
      </c>
      <c r="BF30" s="60">
        <f t="shared" si="9"/>
        <v>1</v>
      </c>
      <c r="BG30" s="60">
        <f t="shared" si="9"/>
        <v>1</v>
      </c>
      <c r="BH30" s="59">
        <f t="shared" si="9"/>
        <v>1</v>
      </c>
      <c r="BI30" s="61">
        <f t="shared" si="9"/>
        <v>1</v>
      </c>
      <c r="BJ30" s="60">
        <f t="shared" si="9"/>
        <v>2</v>
      </c>
      <c r="BK30" s="60">
        <f t="shared" si="9"/>
        <v>1</v>
      </c>
      <c r="BL30" s="59">
        <f t="shared" si="9"/>
        <v>1</v>
      </c>
      <c r="BM30" s="61" t="str">
        <f t="shared" si="9"/>
        <v/>
      </c>
      <c r="BN30" s="60" t="str">
        <f t="shared" si="9"/>
        <v/>
      </c>
      <c r="BO30" s="60" t="str">
        <f t="shared" si="9"/>
        <v/>
      </c>
      <c r="BP30" s="59" t="str">
        <f t="shared" si="9"/>
        <v/>
      </c>
      <c r="BQ30" s="61" t="str">
        <f t="shared" si="9"/>
        <v/>
      </c>
      <c r="BR30" s="60" t="str">
        <f t="shared" si="9"/>
        <v/>
      </c>
      <c r="BS30" s="60" t="str">
        <f t="shared" si="9"/>
        <v/>
      </c>
      <c r="BT30" s="59">
        <f t="shared" si="9"/>
        <v>1</v>
      </c>
      <c r="BU30" s="61">
        <f t="shared" si="9"/>
        <v>1</v>
      </c>
      <c r="BV30" s="60">
        <f t="shared" si="9"/>
        <v>1</v>
      </c>
      <c r="BW30" s="60" t="str">
        <f t="shared" si="9"/>
        <v/>
      </c>
      <c r="BX30" s="59" t="str">
        <f t="shared" si="9"/>
        <v/>
      </c>
      <c r="BY30" s="58" t="str">
        <f t="shared" si="9"/>
        <v/>
      </c>
      <c r="BZ30" s="58" t="str">
        <f t="shared" si="9"/>
        <v/>
      </c>
    </row>
    <row r="31" spans="1:80" x14ac:dyDescent="0.3">
      <c r="V31" s="13" t="s">
        <v>297</v>
      </c>
      <c r="W31" s="13" t="str">
        <f t="shared" ref="W31:BB31" si="10">IF(COUNTIF(W$4:W$28,$V$31)=0,"",COUNTIF(W$4:W$28,$V$31))</f>
        <v/>
      </c>
      <c r="X31" s="13" t="str">
        <f t="shared" si="10"/>
        <v/>
      </c>
      <c r="Y31" s="13" t="str">
        <f t="shared" si="10"/>
        <v/>
      </c>
      <c r="Z31" s="13" t="str">
        <f t="shared" si="10"/>
        <v/>
      </c>
      <c r="AA31" s="45" t="str">
        <f t="shared" si="10"/>
        <v/>
      </c>
      <c r="AB31" s="45" t="str">
        <f t="shared" si="10"/>
        <v/>
      </c>
      <c r="AC31" s="51" t="str">
        <f t="shared" si="10"/>
        <v/>
      </c>
      <c r="AD31" s="13" t="str">
        <f t="shared" si="10"/>
        <v/>
      </c>
      <c r="AE31" s="45" t="str">
        <f t="shared" si="10"/>
        <v/>
      </c>
      <c r="AF31" s="50">
        <f t="shared" si="10"/>
        <v>1</v>
      </c>
      <c r="AG31" s="51">
        <f t="shared" si="10"/>
        <v>4</v>
      </c>
      <c r="AH31" s="13">
        <f t="shared" si="10"/>
        <v>3</v>
      </c>
      <c r="AI31" s="13" t="str">
        <f t="shared" si="10"/>
        <v/>
      </c>
      <c r="AJ31" s="50">
        <f t="shared" si="10"/>
        <v>1</v>
      </c>
      <c r="AK31" s="51">
        <f t="shared" si="10"/>
        <v>1</v>
      </c>
      <c r="AL31" s="13">
        <f t="shared" si="10"/>
        <v>1</v>
      </c>
      <c r="AM31" s="13">
        <f t="shared" si="10"/>
        <v>2</v>
      </c>
      <c r="AN31" s="50">
        <f t="shared" si="10"/>
        <v>2</v>
      </c>
      <c r="AO31" s="51" t="str">
        <f t="shared" si="10"/>
        <v/>
      </c>
      <c r="AP31" s="13" t="str">
        <f t="shared" si="10"/>
        <v/>
      </c>
      <c r="AQ31" s="13">
        <f t="shared" si="10"/>
        <v>2</v>
      </c>
      <c r="AR31" s="50">
        <f t="shared" si="10"/>
        <v>3</v>
      </c>
      <c r="AS31" s="51">
        <f t="shared" si="10"/>
        <v>3</v>
      </c>
      <c r="AT31" s="13" t="str">
        <f t="shared" si="10"/>
        <v/>
      </c>
      <c r="AU31" s="13">
        <f t="shared" si="10"/>
        <v>1</v>
      </c>
      <c r="AV31" s="50">
        <f t="shared" si="10"/>
        <v>1</v>
      </c>
      <c r="AW31" s="51">
        <f t="shared" si="10"/>
        <v>2</v>
      </c>
      <c r="AX31" s="13">
        <f t="shared" si="10"/>
        <v>1</v>
      </c>
      <c r="AY31" s="13">
        <f t="shared" si="10"/>
        <v>1</v>
      </c>
      <c r="AZ31" s="50">
        <f t="shared" si="10"/>
        <v>1</v>
      </c>
      <c r="BA31" s="51" t="str">
        <f t="shared" si="10"/>
        <v/>
      </c>
      <c r="BB31" s="13">
        <f t="shared" si="10"/>
        <v>1</v>
      </c>
      <c r="BC31" s="13">
        <f t="shared" ref="BC31:BZ31" si="11">IF(COUNTIF(BC$4:BC$28,$V$31)=0,"",COUNTIF(BC$4:BC$28,$V$31))</f>
        <v>1</v>
      </c>
      <c r="BD31" s="50">
        <f t="shared" si="11"/>
        <v>1</v>
      </c>
      <c r="BE31" s="51">
        <f t="shared" si="11"/>
        <v>1</v>
      </c>
      <c r="BF31" s="13">
        <f t="shared" si="11"/>
        <v>1</v>
      </c>
      <c r="BG31" s="13">
        <f t="shared" si="11"/>
        <v>1</v>
      </c>
      <c r="BH31" s="50">
        <f t="shared" si="11"/>
        <v>1</v>
      </c>
      <c r="BI31" s="51">
        <f t="shared" si="11"/>
        <v>1</v>
      </c>
      <c r="BJ31" s="13" t="str">
        <f t="shared" si="11"/>
        <v/>
      </c>
      <c r="BK31" s="13">
        <f t="shared" si="11"/>
        <v>1</v>
      </c>
      <c r="BL31" s="50">
        <f t="shared" si="11"/>
        <v>1</v>
      </c>
      <c r="BM31" s="51">
        <f t="shared" si="11"/>
        <v>1</v>
      </c>
      <c r="BN31" s="13">
        <f t="shared" si="11"/>
        <v>1</v>
      </c>
      <c r="BO31" s="13" t="str">
        <f t="shared" si="11"/>
        <v/>
      </c>
      <c r="BP31" s="50" t="str">
        <f t="shared" si="11"/>
        <v/>
      </c>
      <c r="BQ31" s="51" t="str">
        <f t="shared" si="11"/>
        <v/>
      </c>
      <c r="BR31" s="13" t="str">
        <f t="shared" si="11"/>
        <v/>
      </c>
      <c r="BS31" s="13" t="str">
        <f t="shared" si="11"/>
        <v/>
      </c>
      <c r="BT31" s="50" t="str">
        <f t="shared" si="11"/>
        <v/>
      </c>
      <c r="BU31" s="51" t="str">
        <f t="shared" si="11"/>
        <v/>
      </c>
      <c r="BV31" s="13" t="str">
        <f t="shared" si="11"/>
        <v/>
      </c>
      <c r="BW31" s="13">
        <f t="shared" si="11"/>
        <v>1</v>
      </c>
      <c r="BX31" s="50">
        <f t="shared" si="11"/>
        <v>1</v>
      </c>
      <c r="BY31" s="13" t="str">
        <f t="shared" si="11"/>
        <v/>
      </c>
      <c r="BZ31" s="13" t="str">
        <f t="shared" si="11"/>
        <v/>
      </c>
    </row>
    <row r="32" spans="1:80" x14ac:dyDescent="0.3">
      <c r="V32" s="55" t="s">
        <v>282</v>
      </c>
      <c r="W32" s="55" t="str">
        <f t="shared" ref="W32:BB32" si="12">IF(COUNTIF(W$4:W$28,$V$32)=0,"",COUNTIF(W$4:W$28,$V$32))</f>
        <v/>
      </c>
      <c r="X32" s="55" t="str">
        <f t="shared" si="12"/>
        <v/>
      </c>
      <c r="Y32" s="55" t="str">
        <f t="shared" si="12"/>
        <v/>
      </c>
      <c r="Z32" s="55" t="str">
        <f t="shared" si="12"/>
        <v/>
      </c>
      <c r="AA32" s="45" t="str">
        <f t="shared" si="12"/>
        <v/>
      </c>
      <c r="AB32" s="45" t="str">
        <f t="shared" si="12"/>
        <v/>
      </c>
      <c r="AC32" s="57" t="str">
        <f t="shared" si="12"/>
        <v/>
      </c>
      <c r="AD32" s="55" t="str">
        <f t="shared" si="12"/>
        <v/>
      </c>
      <c r="AE32" s="45" t="str">
        <f t="shared" si="12"/>
        <v/>
      </c>
      <c r="AF32" s="56" t="str">
        <f t="shared" si="12"/>
        <v/>
      </c>
      <c r="AG32" s="57" t="str">
        <f t="shared" si="12"/>
        <v/>
      </c>
      <c r="AH32" s="55">
        <f t="shared" si="12"/>
        <v>1</v>
      </c>
      <c r="AI32" s="55">
        <f t="shared" si="12"/>
        <v>4</v>
      </c>
      <c r="AJ32" s="56">
        <f t="shared" si="12"/>
        <v>4</v>
      </c>
      <c r="AK32" s="57">
        <f t="shared" si="12"/>
        <v>3</v>
      </c>
      <c r="AL32" s="55">
        <f t="shared" si="12"/>
        <v>3</v>
      </c>
      <c r="AM32" s="55">
        <f t="shared" si="12"/>
        <v>2</v>
      </c>
      <c r="AN32" s="56">
        <f t="shared" si="12"/>
        <v>2</v>
      </c>
      <c r="AO32" s="57">
        <f t="shared" si="12"/>
        <v>3</v>
      </c>
      <c r="AP32" s="55">
        <f t="shared" si="12"/>
        <v>3</v>
      </c>
      <c r="AQ32" s="55">
        <f t="shared" si="12"/>
        <v>1</v>
      </c>
      <c r="AR32" s="56">
        <f t="shared" si="12"/>
        <v>1</v>
      </c>
      <c r="AS32" s="57">
        <f t="shared" si="12"/>
        <v>1</v>
      </c>
      <c r="AT32" s="55">
        <f t="shared" si="12"/>
        <v>2</v>
      </c>
      <c r="AU32" s="55">
        <f t="shared" si="12"/>
        <v>3</v>
      </c>
      <c r="AV32" s="56">
        <f t="shared" si="12"/>
        <v>4</v>
      </c>
      <c r="AW32" s="57">
        <f t="shared" si="12"/>
        <v>4</v>
      </c>
      <c r="AX32" s="55">
        <f t="shared" si="12"/>
        <v>4</v>
      </c>
      <c r="AY32" s="55">
        <f t="shared" si="12"/>
        <v>4</v>
      </c>
      <c r="AZ32" s="56">
        <f t="shared" si="12"/>
        <v>3</v>
      </c>
      <c r="BA32" s="57">
        <f t="shared" si="12"/>
        <v>2</v>
      </c>
      <c r="BB32" s="55">
        <f t="shared" si="12"/>
        <v>4</v>
      </c>
      <c r="BC32" s="55">
        <f t="shared" ref="BC32:BZ32" si="13">IF(COUNTIF(BC$4:BC$28,$V$32)=0,"",COUNTIF(BC$4:BC$28,$V$32))</f>
        <v>4</v>
      </c>
      <c r="BD32" s="56">
        <f t="shared" si="13"/>
        <v>4</v>
      </c>
      <c r="BE32" s="57">
        <f t="shared" si="13"/>
        <v>3</v>
      </c>
      <c r="BF32" s="55">
        <f t="shared" si="13"/>
        <v>2</v>
      </c>
      <c r="BG32" s="55">
        <f t="shared" si="13"/>
        <v>2</v>
      </c>
      <c r="BH32" s="56">
        <f t="shared" si="13"/>
        <v>2</v>
      </c>
      <c r="BI32" s="57">
        <f t="shared" si="13"/>
        <v>2</v>
      </c>
      <c r="BJ32" s="55">
        <f t="shared" si="13"/>
        <v>3</v>
      </c>
      <c r="BK32" s="55">
        <f t="shared" si="13"/>
        <v>3</v>
      </c>
      <c r="BL32" s="56">
        <f t="shared" si="13"/>
        <v>3</v>
      </c>
      <c r="BM32" s="57">
        <f t="shared" si="13"/>
        <v>3</v>
      </c>
      <c r="BN32" s="55">
        <f t="shared" si="13"/>
        <v>3</v>
      </c>
      <c r="BO32" s="55">
        <f t="shared" si="13"/>
        <v>4</v>
      </c>
      <c r="BP32" s="56">
        <f t="shared" si="13"/>
        <v>2</v>
      </c>
      <c r="BQ32" s="57" t="str">
        <f t="shared" si="13"/>
        <v/>
      </c>
      <c r="BR32" s="55" t="str">
        <f t="shared" si="13"/>
        <v/>
      </c>
      <c r="BS32" s="55" t="str">
        <f t="shared" si="13"/>
        <v/>
      </c>
      <c r="BT32" s="56" t="str">
        <f t="shared" si="13"/>
        <v/>
      </c>
      <c r="BU32" s="57" t="str">
        <f t="shared" si="13"/>
        <v/>
      </c>
      <c r="BV32" s="55" t="str">
        <f t="shared" si="13"/>
        <v/>
      </c>
      <c r="BW32" s="55" t="str">
        <f t="shared" si="13"/>
        <v/>
      </c>
      <c r="BX32" s="56" t="str">
        <f t="shared" si="13"/>
        <v/>
      </c>
      <c r="BY32" s="55" t="str">
        <f t="shared" si="13"/>
        <v/>
      </c>
      <c r="BZ32" s="55" t="str">
        <f t="shared" si="13"/>
        <v/>
      </c>
    </row>
    <row r="33" spans="1:81" x14ac:dyDescent="0.3">
      <c r="V33" s="52" t="s">
        <v>283</v>
      </c>
      <c r="W33" s="52" t="str">
        <f t="shared" ref="W33:BB33" si="14">IF(COUNTIF(W$4:W$28,$V$33)=0,"",COUNTIF(W$4:W$28,$V$33))</f>
        <v/>
      </c>
      <c r="X33" s="52" t="str">
        <f t="shared" si="14"/>
        <v/>
      </c>
      <c r="Y33" s="52" t="str">
        <f t="shared" si="14"/>
        <v/>
      </c>
      <c r="Z33" s="52" t="str">
        <f t="shared" si="14"/>
        <v/>
      </c>
      <c r="AA33" s="45" t="str">
        <f t="shared" si="14"/>
        <v/>
      </c>
      <c r="AB33" s="45" t="str">
        <f t="shared" si="14"/>
        <v/>
      </c>
      <c r="AC33" s="54" t="str">
        <f t="shared" si="14"/>
        <v/>
      </c>
      <c r="AD33" s="52" t="str">
        <f t="shared" si="14"/>
        <v/>
      </c>
      <c r="AE33" s="45" t="str">
        <f t="shared" si="14"/>
        <v/>
      </c>
      <c r="AF33" s="53" t="str">
        <f t="shared" si="14"/>
        <v/>
      </c>
      <c r="AG33" s="54" t="str">
        <f t="shared" si="14"/>
        <v/>
      </c>
      <c r="AH33" s="52" t="str">
        <f t="shared" si="14"/>
        <v/>
      </c>
      <c r="AI33" s="52" t="str">
        <f t="shared" si="14"/>
        <v/>
      </c>
      <c r="AJ33" s="53" t="str">
        <f t="shared" si="14"/>
        <v/>
      </c>
      <c r="AK33" s="54">
        <f t="shared" si="14"/>
        <v>1</v>
      </c>
      <c r="AL33" s="52">
        <f t="shared" si="14"/>
        <v>1</v>
      </c>
      <c r="AM33" s="52">
        <f t="shared" si="14"/>
        <v>1</v>
      </c>
      <c r="AN33" s="53">
        <f t="shared" si="14"/>
        <v>1</v>
      </c>
      <c r="AO33" s="54">
        <f t="shared" si="14"/>
        <v>1</v>
      </c>
      <c r="AP33" s="52">
        <f t="shared" si="14"/>
        <v>1</v>
      </c>
      <c r="AQ33" s="52">
        <f t="shared" si="14"/>
        <v>3</v>
      </c>
      <c r="AR33" s="53">
        <f t="shared" si="14"/>
        <v>3</v>
      </c>
      <c r="AS33" s="54">
        <f t="shared" si="14"/>
        <v>2</v>
      </c>
      <c r="AT33" s="52">
        <f t="shared" si="14"/>
        <v>2</v>
      </c>
      <c r="AU33" s="52">
        <f t="shared" si="14"/>
        <v>2</v>
      </c>
      <c r="AV33" s="53">
        <f t="shared" si="14"/>
        <v>1</v>
      </c>
      <c r="AW33" s="54">
        <f t="shared" si="14"/>
        <v>1</v>
      </c>
      <c r="AX33" s="52">
        <f t="shared" si="14"/>
        <v>1</v>
      </c>
      <c r="AY33" s="52">
        <f t="shared" si="14"/>
        <v>1</v>
      </c>
      <c r="AZ33" s="53">
        <f t="shared" si="14"/>
        <v>2</v>
      </c>
      <c r="BA33" s="54">
        <f t="shared" si="14"/>
        <v>4</v>
      </c>
      <c r="BB33" s="52">
        <f t="shared" si="14"/>
        <v>4</v>
      </c>
      <c r="BC33" s="52">
        <f t="shared" ref="BC33:BZ33" si="15">IF(COUNTIF(BC$4:BC$28,$V$33)=0,"",COUNTIF(BC$4:BC$28,$V$33))</f>
        <v>3</v>
      </c>
      <c r="BD33" s="53">
        <f t="shared" si="15"/>
        <v>2</v>
      </c>
      <c r="BE33" s="54">
        <f t="shared" si="15"/>
        <v>4</v>
      </c>
      <c r="BF33" s="52">
        <f t="shared" si="15"/>
        <v>3</v>
      </c>
      <c r="BG33" s="52">
        <f t="shared" si="15"/>
        <v>3</v>
      </c>
      <c r="BH33" s="53">
        <f t="shared" si="15"/>
        <v>3</v>
      </c>
      <c r="BI33" s="54">
        <f t="shared" si="15"/>
        <v>3</v>
      </c>
      <c r="BJ33" s="52">
        <f t="shared" si="15"/>
        <v>2</v>
      </c>
      <c r="BK33" s="52">
        <f t="shared" si="15"/>
        <v>1</v>
      </c>
      <c r="BL33" s="53" t="str">
        <f t="shared" si="15"/>
        <v/>
      </c>
      <c r="BM33" s="54">
        <f t="shared" si="15"/>
        <v>1</v>
      </c>
      <c r="BN33" s="52">
        <f t="shared" si="15"/>
        <v>1</v>
      </c>
      <c r="BO33" s="52">
        <f t="shared" si="15"/>
        <v>1</v>
      </c>
      <c r="BP33" s="53">
        <f t="shared" si="15"/>
        <v>3</v>
      </c>
      <c r="BQ33" s="54">
        <f t="shared" si="15"/>
        <v>5</v>
      </c>
      <c r="BR33" s="52">
        <f t="shared" si="15"/>
        <v>5</v>
      </c>
      <c r="BS33" s="52">
        <f t="shared" si="15"/>
        <v>3</v>
      </c>
      <c r="BT33" s="53">
        <f t="shared" si="15"/>
        <v>2</v>
      </c>
      <c r="BU33" s="54">
        <f t="shared" si="15"/>
        <v>1</v>
      </c>
      <c r="BV33" s="52" t="str">
        <f t="shared" si="15"/>
        <v/>
      </c>
      <c r="BW33" s="52" t="str">
        <f t="shared" si="15"/>
        <v/>
      </c>
      <c r="BX33" s="53" t="str">
        <f t="shared" si="15"/>
        <v/>
      </c>
      <c r="BY33" s="52" t="str">
        <f t="shared" si="15"/>
        <v/>
      </c>
      <c r="BZ33" s="52" t="str">
        <f t="shared" si="15"/>
        <v/>
      </c>
    </row>
    <row r="34" spans="1:81" x14ac:dyDescent="0.3">
      <c r="V34" s="13" t="s">
        <v>170</v>
      </c>
      <c r="W34" s="13" t="str">
        <f t="shared" ref="W34:BB34" si="16">IF(COUNTIF(W$4:W$28,$V$34)=0,"",COUNTIF(W$4:W$28,$V$34))</f>
        <v/>
      </c>
      <c r="X34" s="13" t="str">
        <f t="shared" si="16"/>
        <v/>
      </c>
      <c r="Y34" s="13" t="str">
        <f t="shared" si="16"/>
        <v/>
      </c>
      <c r="Z34" s="13" t="str">
        <f t="shared" si="16"/>
        <v/>
      </c>
      <c r="AA34" s="45" t="str">
        <f t="shared" si="16"/>
        <v/>
      </c>
      <c r="AB34" s="45" t="str">
        <f t="shared" si="16"/>
        <v/>
      </c>
      <c r="AC34" s="51" t="str">
        <f t="shared" si="16"/>
        <v/>
      </c>
      <c r="AD34" s="13" t="str">
        <f t="shared" si="16"/>
        <v/>
      </c>
      <c r="AE34" s="45" t="str">
        <f t="shared" si="16"/>
        <v/>
      </c>
      <c r="AF34" s="50" t="str">
        <f t="shared" si="16"/>
        <v/>
      </c>
      <c r="AG34" s="51" t="str">
        <f t="shared" si="16"/>
        <v/>
      </c>
      <c r="AH34" s="13" t="str">
        <f t="shared" si="16"/>
        <v/>
      </c>
      <c r="AI34" s="13" t="str">
        <f t="shared" si="16"/>
        <v/>
      </c>
      <c r="AJ34" s="50" t="str">
        <f t="shared" si="16"/>
        <v/>
      </c>
      <c r="AK34" s="51" t="str">
        <f t="shared" si="16"/>
        <v/>
      </c>
      <c r="AL34" s="13" t="str">
        <f t="shared" si="16"/>
        <v/>
      </c>
      <c r="AM34" s="13">
        <f t="shared" si="16"/>
        <v>1</v>
      </c>
      <c r="AN34" s="50">
        <f t="shared" si="16"/>
        <v>1</v>
      </c>
      <c r="AO34" s="51" t="str">
        <f t="shared" si="16"/>
        <v/>
      </c>
      <c r="AP34" s="13" t="str">
        <f t="shared" si="16"/>
        <v/>
      </c>
      <c r="AQ34" s="13">
        <f t="shared" si="16"/>
        <v>1</v>
      </c>
      <c r="AR34" s="50">
        <f t="shared" si="16"/>
        <v>1</v>
      </c>
      <c r="AS34" s="51">
        <f t="shared" si="16"/>
        <v>2</v>
      </c>
      <c r="AT34" s="13">
        <f t="shared" si="16"/>
        <v>2</v>
      </c>
      <c r="AU34" s="13">
        <f t="shared" si="16"/>
        <v>1</v>
      </c>
      <c r="AV34" s="50">
        <f t="shared" si="16"/>
        <v>2</v>
      </c>
      <c r="AW34" s="51">
        <f t="shared" si="16"/>
        <v>2</v>
      </c>
      <c r="AX34" s="13">
        <f t="shared" si="16"/>
        <v>2</v>
      </c>
      <c r="AY34" s="13">
        <f t="shared" si="16"/>
        <v>2</v>
      </c>
      <c r="AZ34" s="50">
        <f t="shared" si="16"/>
        <v>2</v>
      </c>
      <c r="BA34" s="51">
        <f t="shared" si="16"/>
        <v>1</v>
      </c>
      <c r="BB34" s="13" t="str">
        <f t="shared" si="16"/>
        <v/>
      </c>
      <c r="BC34" s="13">
        <f t="shared" ref="BC34:BZ34" si="17">IF(COUNTIF(BC$4:BC$28,$V$34)=0,"",COUNTIF(BC$4:BC$28,$V$34))</f>
        <v>1</v>
      </c>
      <c r="BD34" s="50">
        <f t="shared" si="17"/>
        <v>2</v>
      </c>
      <c r="BE34" s="51">
        <f t="shared" si="17"/>
        <v>2</v>
      </c>
      <c r="BF34" s="13">
        <f t="shared" si="17"/>
        <v>4</v>
      </c>
      <c r="BG34" s="13">
        <f t="shared" si="17"/>
        <v>2</v>
      </c>
      <c r="BH34" s="50">
        <f t="shared" si="17"/>
        <v>3</v>
      </c>
      <c r="BI34" s="51">
        <f t="shared" si="17"/>
        <v>3</v>
      </c>
      <c r="BJ34" s="13">
        <f t="shared" si="17"/>
        <v>2</v>
      </c>
      <c r="BK34" s="13">
        <f t="shared" si="17"/>
        <v>2</v>
      </c>
      <c r="BL34" s="50">
        <f t="shared" si="17"/>
        <v>3</v>
      </c>
      <c r="BM34" s="51">
        <f t="shared" si="17"/>
        <v>3</v>
      </c>
      <c r="BN34" s="13">
        <f t="shared" si="17"/>
        <v>2</v>
      </c>
      <c r="BO34" s="13">
        <f t="shared" si="17"/>
        <v>1</v>
      </c>
      <c r="BP34" s="50" t="str">
        <f t="shared" si="17"/>
        <v/>
      </c>
      <c r="BQ34" s="51" t="str">
        <f t="shared" si="17"/>
        <v/>
      </c>
      <c r="BR34" s="13" t="str">
        <f t="shared" si="17"/>
        <v/>
      </c>
      <c r="BS34" s="13">
        <f t="shared" si="17"/>
        <v>2</v>
      </c>
      <c r="BT34" s="50">
        <f t="shared" si="17"/>
        <v>3</v>
      </c>
      <c r="BU34" s="51">
        <f t="shared" si="17"/>
        <v>4</v>
      </c>
      <c r="BV34" s="13">
        <f t="shared" si="17"/>
        <v>5</v>
      </c>
      <c r="BW34" s="13">
        <f t="shared" si="17"/>
        <v>2</v>
      </c>
      <c r="BX34" s="50">
        <f t="shared" si="17"/>
        <v>2</v>
      </c>
      <c r="BY34" s="13">
        <f t="shared" si="17"/>
        <v>2</v>
      </c>
      <c r="BZ34" s="13" t="str">
        <f t="shared" si="17"/>
        <v/>
      </c>
    </row>
    <row r="35" spans="1:81" x14ac:dyDescent="0.3">
      <c r="W35" s="13">
        <f t="shared" ref="W35:BZ35" si="18">SUM(W30:W34)</f>
        <v>0</v>
      </c>
      <c r="X35" s="13">
        <f t="shared" si="18"/>
        <v>1</v>
      </c>
      <c r="Y35" s="13">
        <f t="shared" si="18"/>
        <v>2</v>
      </c>
      <c r="Z35" s="13">
        <f t="shared" si="18"/>
        <v>2</v>
      </c>
      <c r="AA35" s="45">
        <f t="shared" si="18"/>
        <v>0</v>
      </c>
      <c r="AB35" s="45">
        <f t="shared" si="18"/>
        <v>0</v>
      </c>
      <c r="AC35" s="48">
        <f t="shared" si="18"/>
        <v>5</v>
      </c>
      <c r="AD35" s="47">
        <f t="shared" si="18"/>
        <v>5</v>
      </c>
      <c r="AE35" s="49">
        <f t="shared" si="18"/>
        <v>0</v>
      </c>
      <c r="AF35" s="46">
        <f t="shared" si="18"/>
        <v>6</v>
      </c>
      <c r="AG35" s="48">
        <f t="shared" si="18"/>
        <v>6</v>
      </c>
      <c r="AH35" s="47">
        <f t="shared" si="18"/>
        <v>6</v>
      </c>
      <c r="AI35" s="47">
        <f t="shared" si="18"/>
        <v>6</v>
      </c>
      <c r="AJ35" s="46">
        <f t="shared" si="18"/>
        <v>7</v>
      </c>
      <c r="AK35" s="48">
        <f t="shared" si="18"/>
        <v>8</v>
      </c>
      <c r="AL35" s="47">
        <f t="shared" si="18"/>
        <v>9</v>
      </c>
      <c r="AM35" s="47">
        <f t="shared" si="18"/>
        <v>9</v>
      </c>
      <c r="AN35" s="46">
        <f t="shared" si="18"/>
        <v>9</v>
      </c>
      <c r="AO35" s="48">
        <f t="shared" si="18"/>
        <v>8</v>
      </c>
      <c r="AP35" s="47">
        <f t="shared" si="18"/>
        <v>8</v>
      </c>
      <c r="AQ35" s="47">
        <f t="shared" si="18"/>
        <v>10</v>
      </c>
      <c r="AR35" s="46">
        <f t="shared" si="18"/>
        <v>10</v>
      </c>
      <c r="AS35" s="48">
        <f t="shared" si="18"/>
        <v>10</v>
      </c>
      <c r="AT35" s="47">
        <f t="shared" si="18"/>
        <v>8</v>
      </c>
      <c r="AU35" s="47">
        <f t="shared" si="18"/>
        <v>8</v>
      </c>
      <c r="AV35" s="46">
        <f t="shared" si="18"/>
        <v>10</v>
      </c>
      <c r="AW35" s="48">
        <f t="shared" si="18"/>
        <v>11</v>
      </c>
      <c r="AX35" s="47">
        <f t="shared" si="18"/>
        <v>11</v>
      </c>
      <c r="AY35" s="47">
        <f t="shared" si="18"/>
        <v>10</v>
      </c>
      <c r="AZ35" s="46">
        <f t="shared" si="18"/>
        <v>10</v>
      </c>
      <c r="BA35" s="48">
        <f t="shared" si="18"/>
        <v>9</v>
      </c>
      <c r="BB35" s="47">
        <f t="shared" si="18"/>
        <v>11</v>
      </c>
      <c r="BC35" s="47">
        <f t="shared" si="18"/>
        <v>11</v>
      </c>
      <c r="BD35" s="46">
        <f t="shared" si="18"/>
        <v>11</v>
      </c>
      <c r="BE35" s="48">
        <f t="shared" si="18"/>
        <v>11</v>
      </c>
      <c r="BF35" s="47">
        <f t="shared" si="18"/>
        <v>11</v>
      </c>
      <c r="BG35" s="47">
        <f t="shared" si="18"/>
        <v>9</v>
      </c>
      <c r="BH35" s="46">
        <f t="shared" si="18"/>
        <v>10</v>
      </c>
      <c r="BI35" s="48">
        <f t="shared" si="18"/>
        <v>10</v>
      </c>
      <c r="BJ35" s="47">
        <f t="shared" si="18"/>
        <v>9</v>
      </c>
      <c r="BK35" s="47">
        <f t="shared" si="18"/>
        <v>8</v>
      </c>
      <c r="BL35" s="46">
        <f t="shared" si="18"/>
        <v>8</v>
      </c>
      <c r="BM35" s="48">
        <f t="shared" si="18"/>
        <v>8</v>
      </c>
      <c r="BN35" s="47">
        <f t="shared" si="18"/>
        <v>7</v>
      </c>
      <c r="BO35" s="47">
        <f t="shared" si="18"/>
        <v>6</v>
      </c>
      <c r="BP35" s="46">
        <f t="shared" si="18"/>
        <v>5</v>
      </c>
      <c r="BQ35" s="48">
        <f t="shared" si="18"/>
        <v>5</v>
      </c>
      <c r="BR35" s="47">
        <f t="shared" si="18"/>
        <v>5</v>
      </c>
      <c r="BS35" s="47">
        <f t="shared" si="18"/>
        <v>5</v>
      </c>
      <c r="BT35" s="46">
        <f t="shared" si="18"/>
        <v>6</v>
      </c>
      <c r="BU35" s="48">
        <f t="shared" si="18"/>
        <v>6</v>
      </c>
      <c r="BV35" s="47">
        <f t="shared" si="18"/>
        <v>6</v>
      </c>
      <c r="BW35" s="47">
        <f t="shared" si="18"/>
        <v>3</v>
      </c>
      <c r="BX35" s="46">
        <f t="shared" si="18"/>
        <v>3</v>
      </c>
      <c r="BY35" s="13">
        <f t="shared" si="18"/>
        <v>2</v>
      </c>
      <c r="BZ35" s="13">
        <f t="shared" si="18"/>
        <v>0</v>
      </c>
    </row>
    <row r="36" spans="1:81" x14ac:dyDescent="0.3">
      <c r="V36" s="44" t="s">
        <v>303</v>
      </c>
      <c r="W36" s="44">
        <f t="shared" ref="W36:BZ36" si="19">SUM(W30,W33)</f>
        <v>0</v>
      </c>
      <c r="X36" s="44">
        <f t="shared" si="19"/>
        <v>1</v>
      </c>
      <c r="Y36" s="44">
        <f t="shared" si="19"/>
        <v>2</v>
      </c>
      <c r="Z36" s="44">
        <f t="shared" si="19"/>
        <v>2</v>
      </c>
      <c r="AA36" s="45">
        <f t="shared" si="19"/>
        <v>0</v>
      </c>
      <c r="AB36" s="45">
        <f t="shared" si="19"/>
        <v>0</v>
      </c>
      <c r="AC36" s="44">
        <f t="shared" si="19"/>
        <v>5</v>
      </c>
      <c r="AD36" s="44">
        <f t="shared" si="19"/>
        <v>5</v>
      </c>
      <c r="AE36" s="45">
        <f t="shared" si="19"/>
        <v>0</v>
      </c>
      <c r="AF36" s="44">
        <f t="shared" si="19"/>
        <v>5</v>
      </c>
      <c r="AG36" s="44">
        <f t="shared" si="19"/>
        <v>2</v>
      </c>
      <c r="AH36" s="44">
        <f t="shared" si="19"/>
        <v>2</v>
      </c>
      <c r="AI36" s="44">
        <f t="shared" si="19"/>
        <v>2</v>
      </c>
      <c r="AJ36" s="44">
        <f t="shared" si="19"/>
        <v>2</v>
      </c>
      <c r="AK36" s="44">
        <f t="shared" si="19"/>
        <v>4</v>
      </c>
      <c r="AL36" s="44">
        <f t="shared" si="19"/>
        <v>5</v>
      </c>
      <c r="AM36" s="44">
        <f t="shared" si="19"/>
        <v>4</v>
      </c>
      <c r="AN36" s="44">
        <f t="shared" si="19"/>
        <v>4</v>
      </c>
      <c r="AO36" s="44">
        <f t="shared" si="19"/>
        <v>5</v>
      </c>
      <c r="AP36" s="44">
        <f t="shared" si="19"/>
        <v>5</v>
      </c>
      <c r="AQ36" s="44">
        <f t="shared" si="19"/>
        <v>6</v>
      </c>
      <c r="AR36" s="44">
        <f t="shared" si="19"/>
        <v>5</v>
      </c>
      <c r="AS36" s="44">
        <f t="shared" si="19"/>
        <v>4</v>
      </c>
      <c r="AT36" s="44">
        <f t="shared" si="19"/>
        <v>4</v>
      </c>
      <c r="AU36" s="44">
        <f t="shared" si="19"/>
        <v>3</v>
      </c>
      <c r="AV36" s="44">
        <f t="shared" si="19"/>
        <v>3</v>
      </c>
      <c r="AW36" s="44">
        <f t="shared" si="19"/>
        <v>3</v>
      </c>
      <c r="AX36" s="44">
        <f t="shared" si="19"/>
        <v>4</v>
      </c>
      <c r="AY36" s="44">
        <f t="shared" si="19"/>
        <v>3</v>
      </c>
      <c r="AZ36" s="44">
        <f t="shared" si="19"/>
        <v>4</v>
      </c>
      <c r="BA36" s="44">
        <f t="shared" si="19"/>
        <v>6</v>
      </c>
      <c r="BB36" s="44">
        <f t="shared" si="19"/>
        <v>6</v>
      </c>
      <c r="BC36" s="44">
        <f t="shared" si="19"/>
        <v>5</v>
      </c>
      <c r="BD36" s="44">
        <f t="shared" si="19"/>
        <v>4</v>
      </c>
      <c r="BE36" s="44">
        <f t="shared" si="19"/>
        <v>5</v>
      </c>
      <c r="BF36" s="44">
        <f t="shared" si="19"/>
        <v>4</v>
      </c>
      <c r="BG36" s="44">
        <f t="shared" si="19"/>
        <v>4</v>
      </c>
      <c r="BH36" s="44">
        <f t="shared" si="19"/>
        <v>4</v>
      </c>
      <c r="BI36" s="44">
        <f t="shared" si="19"/>
        <v>4</v>
      </c>
      <c r="BJ36" s="44">
        <f t="shared" si="19"/>
        <v>4</v>
      </c>
      <c r="BK36" s="44">
        <f t="shared" si="19"/>
        <v>2</v>
      </c>
      <c r="BL36" s="44">
        <f t="shared" si="19"/>
        <v>1</v>
      </c>
      <c r="BM36" s="44">
        <f t="shared" si="19"/>
        <v>1</v>
      </c>
      <c r="BN36" s="44">
        <f t="shared" si="19"/>
        <v>1</v>
      </c>
      <c r="BO36" s="44">
        <f t="shared" si="19"/>
        <v>1</v>
      </c>
      <c r="BP36" s="44">
        <f t="shared" si="19"/>
        <v>3</v>
      </c>
      <c r="BQ36" s="44">
        <f t="shared" si="19"/>
        <v>5</v>
      </c>
      <c r="BR36" s="44">
        <f t="shared" si="19"/>
        <v>5</v>
      </c>
      <c r="BS36" s="44">
        <f t="shared" si="19"/>
        <v>3</v>
      </c>
      <c r="BT36" s="44">
        <f t="shared" si="19"/>
        <v>3</v>
      </c>
      <c r="BU36" s="44">
        <f t="shared" si="19"/>
        <v>2</v>
      </c>
      <c r="BV36" s="44">
        <f t="shared" si="19"/>
        <v>1</v>
      </c>
      <c r="BW36" s="44">
        <f t="shared" si="19"/>
        <v>0</v>
      </c>
      <c r="BX36" s="44">
        <f t="shared" si="19"/>
        <v>0</v>
      </c>
      <c r="BY36" s="44">
        <f t="shared" si="19"/>
        <v>0</v>
      </c>
      <c r="BZ36" s="44">
        <f t="shared" si="19"/>
        <v>0</v>
      </c>
    </row>
    <row r="39" spans="1:81" s="13" customFormat="1" x14ac:dyDescent="0.3">
      <c r="A39" s="5"/>
      <c r="B39" s="5"/>
      <c r="C39" s="5"/>
      <c r="AJ39" s="269" t="s">
        <v>285</v>
      </c>
      <c r="AK39" s="269"/>
      <c r="AL39" s="269"/>
      <c r="AM39" s="269"/>
      <c r="AN39" s="269"/>
      <c r="AO39" s="269"/>
      <c r="AP39" s="269"/>
      <c r="AQ39" s="269"/>
      <c r="AR39" s="269"/>
      <c r="AS39" s="269"/>
      <c r="AT39" s="269"/>
      <c r="AU39" s="269"/>
      <c r="AV39" s="269"/>
      <c r="AW39" s="269"/>
      <c r="AX39" s="269"/>
      <c r="AY39" s="269"/>
      <c r="CC39" s="5"/>
    </row>
    <row r="40" spans="1:81" s="13" customFormat="1" x14ac:dyDescent="0.3">
      <c r="A40" s="5"/>
      <c r="B40" s="5"/>
      <c r="C40" s="5"/>
      <c r="AJ40" s="269" t="s">
        <v>286</v>
      </c>
      <c r="AK40" s="269"/>
      <c r="AL40" s="269"/>
      <c r="AM40" s="269"/>
      <c r="AN40" s="269" t="s">
        <v>140</v>
      </c>
      <c r="AO40" s="269"/>
      <c r="AP40" s="269"/>
      <c r="AQ40" s="269"/>
      <c r="AR40" s="269" t="s">
        <v>138</v>
      </c>
      <c r="AS40" s="269"/>
      <c r="AT40" s="269"/>
      <c r="AU40" s="269"/>
      <c r="AV40" s="269" t="s">
        <v>139</v>
      </c>
      <c r="AW40" s="269"/>
      <c r="AX40" s="269"/>
      <c r="AY40" s="269"/>
      <c r="CC40" s="5"/>
    </row>
    <row r="41" spans="1:81" s="13" customFormat="1" x14ac:dyDescent="0.3">
      <c r="A41" s="5"/>
      <c r="B41" s="5"/>
      <c r="C41" s="5"/>
      <c r="AC41" s="269" t="s">
        <v>262</v>
      </c>
      <c r="AD41" s="269"/>
      <c r="AE41" s="269"/>
      <c r="AF41" s="269"/>
      <c r="AG41" s="269"/>
      <c r="AH41" s="269"/>
      <c r="AI41" s="269"/>
      <c r="AJ41" s="259">
        <v>1</v>
      </c>
      <c r="AK41" s="259"/>
      <c r="AL41" s="259"/>
      <c r="AM41" s="259"/>
      <c r="AN41" s="263">
        <v>2</v>
      </c>
      <c r="AO41" s="264"/>
      <c r="AP41" s="264"/>
      <c r="AQ41" s="265"/>
      <c r="AR41" s="259">
        <v>2</v>
      </c>
      <c r="AS41" s="259"/>
      <c r="AT41" s="259"/>
      <c r="AU41" s="259"/>
      <c r="AV41" s="259">
        <v>4</v>
      </c>
      <c r="AW41" s="259"/>
      <c r="AX41" s="259"/>
      <c r="AY41" s="259"/>
      <c r="CC41" s="5"/>
    </row>
    <row r="42" spans="1:81" s="13" customFormat="1" x14ac:dyDescent="0.3">
      <c r="A42" s="5"/>
      <c r="B42" s="5"/>
      <c r="C42" s="5"/>
      <c r="AC42" s="269" t="s">
        <v>263</v>
      </c>
      <c r="AD42" s="269"/>
      <c r="AE42" s="269"/>
      <c r="AF42" s="269"/>
      <c r="AG42" s="269"/>
      <c r="AH42" s="269"/>
      <c r="AI42" s="269"/>
      <c r="AJ42" s="259">
        <v>1</v>
      </c>
      <c r="AK42" s="259"/>
      <c r="AL42" s="259"/>
      <c r="AM42" s="259"/>
      <c r="AN42" s="263">
        <v>2</v>
      </c>
      <c r="AO42" s="264"/>
      <c r="AP42" s="264"/>
      <c r="AQ42" s="265"/>
      <c r="AR42" s="259">
        <v>3</v>
      </c>
      <c r="AS42" s="259"/>
      <c r="AT42" s="259"/>
      <c r="AU42" s="259"/>
      <c r="AV42" s="259">
        <v>6</v>
      </c>
      <c r="AW42" s="259"/>
      <c r="AX42" s="259"/>
      <c r="AY42" s="259"/>
      <c r="CC42" s="5"/>
    </row>
    <row r="43" spans="1:81" s="13" customFormat="1" x14ac:dyDescent="0.3">
      <c r="A43" s="5"/>
      <c r="B43" s="5"/>
      <c r="C43" s="5"/>
      <c r="AC43" s="269" t="s">
        <v>264</v>
      </c>
      <c r="AD43" s="269"/>
      <c r="AE43" s="269"/>
      <c r="AF43" s="269"/>
      <c r="AG43" s="269"/>
      <c r="AH43" s="269"/>
      <c r="AI43" s="269"/>
      <c r="AJ43" s="259">
        <v>1</v>
      </c>
      <c r="AK43" s="259"/>
      <c r="AL43" s="259"/>
      <c r="AM43" s="259"/>
      <c r="AN43" s="263">
        <v>2</v>
      </c>
      <c r="AO43" s="264"/>
      <c r="AP43" s="264"/>
      <c r="AQ43" s="265"/>
      <c r="AR43" s="259">
        <v>8</v>
      </c>
      <c r="AS43" s="259"/>
      <c r="AT43" s="259"/>
      <c r="AU43" s="259"/>
      <c r="AV43" s="259">
        <v>12</v>
      </c>
      <c r="AW43" s="259"/>
      <c r="AX43" s="259"/>
      <c r="AY43" s="259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C43" s="5"/>
    </row>
    <row r="44" spans="1:81" s="13" customFormat="1" x14ac:dyDescent="0.3">
      <c r="A44" s="5"/>
      <c r="B44" s="5"/>
      <c r="C44" s="5"/>
      <c r="AC44" s="269" t="s">
        <v>265</v>
      </c>
      <c r="AD44" s="269"/>
      <c r="AE44" s="269"/>
      <c r="AF44" s="269"/>
      <c r="AG44" s="269"/>
      <c r="AH44" s="269"/>
      <c r="AI44" s="269"/>
      <c r="AJ44" s="259">
        <v>1</v>
      </c>
      <c r="AK44" s="259"/>
      <c r="AL44" s="259"/>
      <c r="AM44" s="259"/>
      <c r="AN44" s="263">
        <v>2</v>
      </c>
      <c r="AO44" s="264"/>
      <c r="AP44" s="264"/>
      <c r="AQ44" s="265"/>
      <c r="AR44" s="259">
        <v>2</v>
      </c>
      <c r="AS44" s="259"/>
      <c r="AT44" s="259"/>
      <c r="AU44" s="259"/>
      <c r="AV44" s="259">
        <v>3</v>
      </c>
      <c r="AW44" s="259"/>
      <c r="AX44" s="259"/>
      <c r="AY44" s="259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C44" s="5"/>
    </row>
    <row r="45" spans="1:81" s="13" customFormat="1" x14ac:dyDescent="0.3">
      <c r="A45" s="5"/>
      <c r="B45" s="5"/>
      <c r="C45" s="5"/>
      <c r="AC45" s="269" t="s">
        <v>266</v>
      </c>
      <c r="AD45" s="269"/>
      <c r="AE45" s="269"/>
      <c r="AF45" s="269"/>
      <c r="AG45" s="269"/>
      <c r="AH45" s="269"/>
      <c r="AI45" s="269"/>
      <c r="AJ45" s="259">
        <v>1</v>
      </c>
      <c r="AK45" s="259"/>
      <c r="AL45" s="259"/>
      <c r="AM45" s="259"/>
      <c r="AN45" s="263">
        <v>1</v>
      </c>
      <c r="AO45" s="264"/>
      <c r="AP45" s="264"/>
      <c r="AQ45" s="265"/>
      <c r="AR45" s="259">
        <v>2</v>
      </c>
      <c r="AS45" s="259"/>
      <c r="AT45" s="259"/>
      <c r="AU45" s="259"/>
      <c r="AV45" s="259">
        <v>4</v>
      </c>
      <c r="AW45" s="259"/>
      <c r="AX45" s="259"/>
      <c r="AY45" s="259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C45" s="5"/>
    </row>
    <row r="46" spans="1:81" s="13" customFormat="1" x14ac:dyDescent="0.3">
      <c r="A46" s="5"/>
      <c r="B46" s="5"/>
      <c r="C46" s="5"/>
      <c r="AC46" s="259" t="s">
        <v>287</v>
      </c>
      <c r="AD46" s="260"/>
      <c r="AE46" s="259"/>
      <c r="AF46" s="259"/>
      <c r="AG46" s="259"/>
      <c r="AH46" s="259"/>
      <c r="AI46" s="259"/>
      <c r="AJ46" s="259" t="s">
        <v>288</v>
      </c>
      <c r="AK46" s="259"/>
      <c r="AL46" s="259"/>
      <c r="AM46" s="259"/>
      <c r="AN46" s="259" t="s">
        <v>289</v>
      </c>
      <c r="AO46" s="259"/>
      <c r="AP46" s="259"/>
      <c r="AQ46" s="259"/>
      <c r="AR46" s="259" t="s">
        <v>290</v>
      </c>
      <c r="AS46" s="259"/>
      <c r="AT46" s="259"/>
      <c r="AU46" s="259"/>
      <c r="AV46" s="259" t="s">
        <v>291</v>
      </c>
      <c r="AW46" s="259"/>
      <c r="AX46" s="259"/>
      <c r="AY46" s="259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C46" s="5"/>
    </row>
  </sheetData>
  <mergeCells count="74">
    <mergeCell ref="AC46:AI46"/>
    <mergeCell ref="AJ46:AM46"/>
    <mergeCell ref="AN46:AQ46"/>
    <mergeCell ref="AR46:AU46"/>
    <mergeCell ref="AV46:AY46"/>
    <mergeCell ref="AC44:AI44"/>
    <mergeCell ref="AJ44:AM44"/>
    <mergeCell ref="AN44:AQ44"/>
    <mergeCell ref="AR44:AU44"/>
    <mergeCell ref="AV44:AY44"/>
    <mergeCell ref="AC45:AI45"/>
    <mergeCell ref="AJ45:AM45"/>
    <mergeCell ref="AN45:AQ45"/>
    <mergeCell ref="AR45:AU45"/>
    <mergeCell ref="AV45:AY45"/>
    <mergeCell ref="AC42:AI42"/>
    <mergeCell ref="AJ42:AM42"/>
    <mergeCell ref="AN42:AQ42"/>
    <mergeCell ref="AR42:AU42"/>
    <mergeCell ref="AV42:AY42"/>
    <mergeCell ref="AC43:AI43"/>
    <mergeCell ref="AJ43:AM43"/>
    <mergeCell ref="AN43:AQ43"/>
    <mergeCell ref="AR43:AU43"/>
    <mergeCell ref="AV43:AY43"/>
    <mergeCell ref="AJ40:AM40"/>
    <mergeCell ref="AN40:AQ40"/>
    <mergeCell ref="AR40:AU40"/>
    <mergeCell ref="AV40:AY40"/>
    <mergeCell ref="AC41:AI41"/>
    <mergeCell ref="AJ41:AM41"/>
    <mergeCell ref="AN41:AQ41"/>
    <mergeCell ref="AR41:AU41"/>
    <mergeCell ref="AV41:AY41"/>
    <mergeCell ref="AJ39:AY39"/>
    <mergeCell ref="AK2:AN2"/>
    <mergeCell ref="AO2:AR2"/>
    <mergeCell ref="AS2:AV2"/>
    <mergeCell ref="AW2:AZ2"/>
    <mergeCell ref="BA2:BD2"/>
    <mergeCell ref="BE2:BH2"/>
    <mergeCell ref="BA1:BL1"/>
    <mergeCell ref="BM1:BX1"/>
    <mergeCell ref="BY1:BZ1"/>
    <mergeCell ref="BI2:BL2"/>
    <mergeCell ref="BM2:BP2"/>
    <mergeCell ref="BQ2:BT2"/>
    <mergeCell ref="BU2:BX2"/>
    <mergeCell ref="BY2:BZ2"/>
    <mergeCell ref="F1:H1"/>
    <mergeCell ref="K1:O1"/>
    <mergeCell ref="P1:P3"/>
    <mergeCell ref="Q1:Q3"/>
    <mergeCell ref="R1:R3"/>
    <mergeCell ref="N2:N3"/>
    <mergeCell ref="O2:O3"/>
    <mergeCell ref="L2:L3"/>
    <mergeCell ref="M2:M3"/>
    <mergeCell ref="D2:E2"/>
    <mergeCell ref="F2:F3"/>
    <mergeCell ref="G2:G3"/>
    <mergeCell ref="H2:H3"/>
    <mergeCell ref="K2:K3"/>
    <mergeCell ref="AC1:AN1"/>
    <mergeCell ref="AO1:AZ1"/>
    <mergeCell ref="W2:X2"/>
    <mergeCell ref="Y2:AB2"/>
    <mergeCell ref="AC2:AF2"/>
    <mergeCell ref="AG2:AJ2"/>
    <mergeCell ref="T1:T3"/>
    <mergeCell ref="U1:U3"/>
    <mergeCell ref="V1:V3"/>
    <mergeCell ref="S1:S3"/>
    <mergeCell ref="W1:AB1"/>
  </mergeCells>
  <conditionalFormatting sqref="W3:AB3">
    <cfRule type="cellIs" dxfId="17" priority="9" operator="equal">
      <formula>"A"</formula>
    </cfRule>
    <cfRule type="cellIs" dxfId="16" priority="10" operator="equal">
      <formula>"P"</formula>
    </cfRule>
    <cfRule type="cellIs" dxfId="15" priority="11" operator="equal">
      <formula>"D"</formula>
    </cfRule>
  </conditionalFormatting>
  <conditionalFormatting sqref="W7:AB8 W10:AB11 W13:AB25">
    <cfRule type="cellIs" dxfId="14" priority="13" operator="equal">
      <formula>"A"</formula>
    </cfRule>
    <cfRule type="cellIs" dxfId="13" priority="14" operator="equal">
      <formula>"P"</formula>
    </cfRule>
    <cfRule type="cellIs" dxfId="12" priority="15" operator="equal">
      <formula>"D"</formula>
    </cfRule>
  </conditionalFormatting>
  <conditionalFormatting sqref="W1:BY1 W2 Y2 AC2:BY2 W3:BZ1048576">
    <cfRule type="cellIs" dxfId="11" priority="7" operator="equal">
      <formula>"c"</formula>
    </cfRule>
    <cfRule type="cellIs" dxfId="10" priority="8" operator="equal">
      <formula>"r"</formula>
    </cfRule>
    <cfRule type="cellIs" dxfId="9" priority="12" operator="equal">
      <formula>"f"</formula>
    </cfRule>
    <cfRule type="cellIs" dxfId="8" priority="16" operator="equal">
      <formula>"A"</formula>
    </cfRule>
    <cfRule type="cellIs" dxfId="7" priority="18" operator="equal">
      <formula>"D"</formula>
    </cfRule>
  </conditionalFormatting>
  <conditionalFormatting sqref="W3:BZ1048576 W1:BY1 W2 Y2 AC2:BY2">
    <cfRule type="cellIs" dxfId="6" priority="17" operator="equal">
      <formula>"P"</formula>
    </cfRule>
  </conditionalFormatting>
  <conditionalFormatting sqref="AF25:AJ25">
    <cfRule type="cellIs" dxfId="5" priority="4" operator="equal">
      <formula>"A"</formula>
    </cfRule>
    <cfRule type="cellIs" dxfId="4" priority="5" operator="equal">
      <formula>"P"</formula>
    </cfRule>
    <cfRule type="cellIs" dxfId="3" priority="6" operator="equal">
      <formula>"D"</formula>
    </cfRule>
  </conditionalFormatting>
  <conditionalFormatting sqref="AI11:AJ11">
    <cfRule type="cellIs" dxfId="2" priority="1" operator="equal">
      <formula>"A"</formula>
    </cfRule>
    <cfRule type="cellIs" dxfId="1" priority="2" operator="equal">
      <formula>"P"</formula>
    </cfRule>
    <cfRule type="cellIs" dxfId="0" priority="3" operator="equal">
      <formula>"D"</formula>
    </cfRule>
  </conditionalFormatting>
  <pageMargins left="0.19791666666666666" right="0.14583333333333334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DA655-6DB5-4725-88DD-7703D1E1CA63}">
  <dimension ref="A1:BW49"/>
  <sheetViews>
    <sheetView showGridLines="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G7" sqref="A7:G7"/>
    </sheetView>
  </sheetViews>
  <sheetFormatPr baseColWidth="10" defaultColWidth="0" defaultRowHeight="14.4" x14ac:dyDescent="0.3"/>
  <cols>
    <col min="1" max="1" width="48.6640625" style="6" customWidth="1"/>
    <col min="2" max="2" width="40" style="6" customWidth="1"/>
    <col min="3" max="4" width="12.109375" style="13" customWidth="1"/>
    <col min="5" max="7" width="4" style="13" customWidth="1"/>
    <col min="8" max="9" width="9.5546875" style="13" customWidth="1"/>
    <col min="10" max="10" width="9.5546875" style="13" hidden="1" customWidth="1"/>
    <col min="11" max="15" width="3.6640625" style="13" customWidth="1"/>
    <col min="16" max="16" width="19.5546875" style="5" hidden="1" customWidth="1"/>
    <col min="17" max="29" width="15.33203125" style="5" hidden="1" customWidth="1"/>
    <col min="30" max="42" width="11.44140625" style="5" hidden="1" customWidth="1"/>
    <col min="43" max="43" width="13.88671875" style="5" bestFit="1" customWidth="1"/>
    <col min="44" max="44" width="11.44140625" style="5" hidden="1" customWidth="1"/>
    <col min="45" max="45" width="11.44140625" style="5" customWidth="1"/>
    <col min="46" max="46" width="3.44140625" style="5" customWidth="1"/>
    <col min="47" max="53" width="10.6640625" style="13" customWidth="1"/>
    <col min="54" max="56" width="11.44140625" style="5" customWidth="1"/>
    <col min="57" max="59" width="11.44140625" style="5" hidden="1" customWidth="1"/>
    <col min="60" max="61" width="0" style="5" hidden="1" customWidth="1"/>
    <col min="62" max="66" width="11.44140625" style="5" hidden="1" customWidth="1"/>
    <col min="67" max="75" width="0" style="5" hidden="1" customWidth="1"/>
    <col min="76" max="16384" width="11.44140625" style="5" hidden="1"/>
  </cols>
  <sheetData>
    <row r="1" spans="1:53" x14ac:dyDescent="0.3">
      <c r="A1" s="24"/>
      <c r="C1" s="253" t="s">
        <v>104</v>
      </c>
      <c r="D1" s="253"/>
      <c r="E1" s="253" t="s">
        <v>144</v>
      </c>
      <c r="F1" s="253"/>
      <c r="G1" s="253"/>
      <c r="K1" s="254" t="s">
        <v>116</v>
      </c>
      <c r="L1" s="254"/>
      <c r="M1" s="254"/>
      <c r="N1" s="254"/>
      <c r="O1" s="254"/>
      <c r="AQ1" s="13"/>
      <c r="AS1" s="13"/>
      <c r="AT1" s="13"/>
      <c r="AU1" s="13">
        <f>C35</f>
        <v>6</v>
      </c>
      <c r="AV1" s="13">
        <f>C36</f>
        <v>5</v>
      </c>
      <c r="AW1" s="13">
        <f>C37</f>
        <v>4</v>
      </c>
      <c r="AX1" s="13">
        <f>C38</f>
        <v>3</v>
      </c>
      <c r="AY1" s="13">
        <f>C39</f>
        <v>2</v>
      </c>
      <c r="AZ1" s="13">
        <f>C40</f>
        <v>1</v>
      </c>
      <c r="BA1" s="21"/>
    </row>
    <row r="2" spans="1:53" ht="55.2" x14ac:dyDescent="0.3">
      <c r="A2" s="9" t="s">
        <v>49</v>
      </c>
      <c r="B2" s="9" t="s">
        <v>70</v>
      </c>
      <c r="C2" s="10" t="s">
        <v>105</v>
      </c>
      <c r="D2" s="10" t="s">
        <v>106</v>
      </c>
      <c r="E2" s="23" t="s">
        <v>137</v>
      </c>
      <c r="F2" s="23" t="s">
        <v>143</v>
      </c>
      <c r="G2" s="23" t="s">
        <v>156</v>
      </c>
      <c r="H2" s="10" t="s">
        <v>114</v>
      </c>
      <c r="I2" s="10" t="s">
        <v>51</v>
      </c>
      <c r="J2" s="10" t="s">
        <v>50</v>
      </c>
      <c r="K2" s="20" t="s">
        <v>82</v>
      </c>
      <c r="L2" s="20" t="s">
        <v>76</v>
      </c>
      <c r="M2" s="20" t="s">
        <v>154</v>
      </c>
      <c r="N2" s="20" t="s">
        <v>130</v>
      </c>
      <c r="O2" s="20" t="s">
        <v>117</v>
      </c>
      <c r="P2" s="14" t="s">
        <v>52</v>
      </c>
      <c r="Q2" s="10" t="s">
        <v>85</v>
      </c>
      <c r="R2" s="10" t="s">
        <v>53</v>
      </c>
      <c r="S2" s="10" t="s">
        <v>54</v>
      </c>
      <c r="T2" s="10" t="s">
        <v>55</v>
      </c>
      <c r="U2" s="10" t="s">
        <v>56</v>
      </c>
      <c r="V2" s="10" t="s">
        <v>57</v>
      </c>
      <c r="W2" s="10" t="s">
        <v>58</v>
      </c>
      <c r="X2" s="10" t="s">
        <v>59</v>
      </c>
      <c r="Y2" s="10" t="s">
        <v>60</v>
      </c>
      <c r="Z2" s="10" t="s">
        <v>61</v>
      </c>
      <c r="AA2" s="10" t="s">
        <v>62</v>
      </c>
      <c r="AB2" s="10" t="s">
        <v>63</v>
      </c>
      <c r="AC2" s="10" t="s">
        <v>64</v>
      </c>
      <c r="AD2" s="12">
        <v>44562</v>
      </c>
      <c r="AE2" s="12">
        <v>44593</v>
      </c>
      <c r="AF2" s="12">
        <v>44621</v>
      </c>
      <c r="AG2" s="12">
        <v>44652</v>
      </c>
      <c r="AH2" s="12">
        <v>44682</v>
      </c>
      <c r="AI2" s="12">
        <v>44713</v>
      </c>
      <c r="AJ2" s="12">
        <v>44743</v>
      </c>
      <c r="AK2" s="12">
        <v>44774</v>
      </c>
      <c r="AL2" s="12">
        <v>44805</v>
      </c>
      <c r="AM2" s="12">
        <v>44835</v>
      </c>
      <c r="AN2" s="12">
        <v>44866</v>
      </c>
      <c r="AO2" s="12">
        <v>44896</v>
      </c>
      <c r="AP2" s="10" t="s">
        <v>65</v>
      </c>
      <c r="AQ2" s="10" t="s">
        <v>66</v>
      </c>
      <c r="AR2" s="10" t="s">
        <v>67</v>
      </c>
      <c r="AS2" s="10" t="s">
        <v>129</v>
      </c>
      <c r="AT2" s="10"/>
      <c r="AU2" s="19" t="s">
        <v>148</v>
      </c>
      <c r="AV2" s="19" t="s">
        <v>158</v>
      </c>
      <c r="AW2" s="19" t="s">
        <v>119</v>
      </c>
      <c r="AX2" s="19" t="s">
        <v>155</v>
      </c>
      <c r="AY2" s="19" t="s">
        <v>149</v>
      </c>
      <c r="AZ2" s="19" t="s">
        <v>157</v>
      </c>
    </row>
    <row r="3" spans="1:53" x14ac:dyDescent="0.3">
      <c r="A3" s="176" t="s">
        <v>194</v>
      </c>
      <c r="B3" s="4"/>
      <c r="C3" s="15"/>
      <c r="D3" s="15"/>
      <c r="E3" s="15" t="s">
        <v>138</v>
      </c>
      <c r="F3" s="15">
        <f t="shared" ref="F3:F31" si="0">IF(E3="S",1,IF(E3="M",2,IF(E3="L",4,0)))</f>
        <v>2</v>
      </c>
      <c r="G3" s="15">
        <v>2</v>
      </c>
      <c r="H3" s="15"/>
      <c r="I3" s="15"/>
      <c r="J3" s="15"/>
      <c r="K3" s="16"/>
      <c r="L3" s="16"/>
      <c r="M3" s="16"/>
      <c r="N3" s="16"/>
      <c r="O3" s="16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>
        <v>9000</v>
      </c>
      <c r="AR3" s="7"/>
      <c r="AS3" s="15">
        <v>2022</v>
      </c>
      <c r="AT3" s="15"/>
      <c r="AU3" s="22"/>
      <c r="AV3" s="22"/>
      <c r="AW3" s="22"/>
      <c r="AX3" s="22"/>
      <c r="AY3" s="22"/>
      <c r="AZ3" s="22"/>
      <c r="BA3" s="25">
        <f t="shared" ref="BA3:BA31" si="1">AU3*$AU$1+AY3*$AY$1+AW3*$AW$1+AX3*$AX$1+AV3*$AV$1+AZ3*$AZ$1</f>
        <v>0</v>
      </c>
    </row>
    <row r="4" spans="1:53" x14ac:dyDescent="0.3">
      <c r="A4" s="67" t="s">
        <v>195</v>
      </c>
      <c r="B4" s="4"/>
      <c r="C4" s="15"/>
      <c r="D4" s="15"/>
      <c r="E4" s="15" t="s">
        <v>138</v>
      </c>
      <c r="F4" s="15">
        <f t="shared" si="0"/>
        <v>2</v>
      </c>
      <c r="G4" s="15">
        <v>2</v>
      </c>
      <c r="H4" s="15"/>
      <c r="I4" s="15"/>
      <c r="J4" s="15"/>
      <c r="K4" s="16"/>
      <c r="L4" s="16"/>
      <c r="M4" s="16"/>
      <c r="N4" s="16"/>
      <c r="O4" s="16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>
        <v>3200</v>
      </c>
      <c r="AR4" s="7"/>
      <c r="AS4" s="15">
        <v>2022</v>
      </c>
      <c r="AT4" s="15"/>
      <c r="AU4" s="22"/>
      <c r="AV4" s="22"/>
      <c r="AW4" s="22"/>
      <c r="AX4" s="22"/>
      <c r="AY4" s="22"/>
      <c r="AZ4" s="22"/>
      <c r="BA4" s="25">
        <f t="shared" si="1"/>
        <v>0</v>
      </c>
    </row>
    <row r="5" spans="1:53" x14ac:dyDescent="0.3">
      <c r="A5" s="176" t="s">
        <v>196</v>
      </c>
      <c r="B5" s="4"/>
      <c r="C5" s="15"/>
      <c r="D5" s="15"/>
      <c r="E5" s="15" t="s">
        <v>139</v>
      </c>
      <c r="F5" s="15">
        <f t="shared" si="0"/>
        <v>4</v>
      </c>
      <c r="G5" s="15">
        <v>4</v>
      </c>
      <c r="H5" s="15"/>
      <c r="I5" s="15"/>
      <c r="J5" s="15"/>
      <c r="K5" s="16"/>
      <c r="L5" s="16"/>
      <c r="M5" s="16"/>
      <c r="N5" s="16"/>
      <c r="O5" s="16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>
        <f>5000*4</f>
        <v>20000</v>
      </c>
      <c r="AR5" s="7"/>
      <c r="AS5" s="15">
        <v>2022</v>
      </c>
      <c r="AT5" s="15"/>
      <c r="AU5" s="22"/>
      <c r="AV5" s="22"/>
      <c r="AW5" s="22"/>
      <c r="AX5" s="22"/>
      <c r="AY5" s="22"/>
      <c r="AZ5" s="22"/>
      <c r="BA5" s="25">
        <f t="shared" si="1"/>
        <v>0</v>
      </c>
    </row>
    <row r="6" spans="1:53" x14ac:dyDescent="0.3">
      <c r="A6" s="176" t="s">
        <v>209</v>
      </c>
      <c r="B6" s="4"/>
      <c r="C6" s="15"/>
      <c r="D6" s="15"/>
      <c r="E6" s="15" t="s">
        <v>138</v>
      </c>
      <c r="F6" s="15">
        <f t="shared" si="0"/>
        <v>2</v>
      </c>
      <c r="G6" s="15">
        <v>1</v>
      </c>
      <c r="H6" s="15"/>
      <c r="I6" s="15"/>
      <c r="J6" s="15"/>
      <c r="K6" s="16"/>
      <c r="L6" s="16"/>
      <c r="M6" s="16"/>
      <c r="N6" s="16"/>
      <c r="O6" s="16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>
        <v>10240</v>
      </c>
      <c r="AR6" s="7"/>
      <c r="AS6" s="15">
        <v>2022</v>
      </c>
      <c r="AT6" s="15"/>
      <c r="AU6" s="22"/>
      <c r="AV6" s="22"/>
      <c r="AW6" s="22"/>
      <c r="AX6" s="22"/>
      <c r="AY6" s="22"/>
      <c r="AZ6" s="22"/>
      <c r="BA6" s="25">
        <f t="shared" si="1"/>
        <v>0</v>
      </c>
    </row>
    <row r="7" spans="1:53" x14ac:dyDescent="0.3">
      <c r="A7" s="4" t="s">
        <v>197</v>
      </c>
      <c r="B7" s="4"/>
      <c r="C7" s="15"/>
      <c r="D7" s="15"/>
      <c r="E7" s="15" t="s">
        <v>140</v>
      </c>
      <c r="F7" s="15">
        <f t="shared" si="0"/>
        <v>1</v>
      </c>
      <c r="G7" s="15">
        <v>1</v>
      </c>
      <c r="H7" s="15"/>
      <c r="I7" s="15"/>
      <c r="J7" s="15"/>
      <c r="K7" s="16"/>
      <c r="L7" s="16"/>
      <c r="M7" s="16"/>
      <c r="N7" s="16"/>
      <c r="O7" s="16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>
        <v>480</v>
      </c>
      <c r="AR7" s="7"/>
      <c r="AS7" s="15">
        <v>2022</v>
      </c>
      <c r="AT7" s="15"/>
      <c r="AU7" s="22"/>
      <c r="AV7" s="22"/>
      <c r="AW7" s="22"/>
      <c r="AX7" s="22"/>
      <c r="AY7" s="22"/>
      <c r="AZ7" s="22"/>
      <c r="BA7" s="25">
        <f t="shared" si="1"/>
        <v>0</v>
      </c>
    </row>
    <row r="8" spans="1:53" x14ac:dyDescent="0.3">
      <c r="A8" s="176" t="s">
        <v>198</v>
      </c>
      <c r="B8" s="4"/>
      <c r="C8" s="15"/>
      <c r="D8" s="15"/>
      <c r="E8" s="15" t="s">
        <v>138</v>
      </c>
      <c r="F8" s="15">
        <f t="shared" si="0"/>
        <v>2</v>
      </c>
      <c r="G8" s="15">
        <v>2</v>
      </c>
      <c r="H8" s="15"/>
      <c r="I8" s="15"/>
      <c r="J8" s="15"/>
      <c r="K8" s="16"/>
      <c r="L8" s="16"/>
      <c r="M8" s="16"/>
      <c r="N8" s="16"/>
      <c r="O8" s="16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>
        <v>4750</v>
      </c>
      <c r="AR8" s="7"/>
      <c r="AS8" s="15">
        <v>2022</v>
      </c>
      <c r="AT8" s="15"/>
      <c r="AU8" s="22"/>
      <c r="AV8" s="22"/>
      <c r="AW8" s="22"/>
      <c r="AX8" s="22"/>
      <c r="AY8" s="22"/>
      <c r="AZ8" s="22"/>
      <c r="BA8" s="22">
        <f t="shared" si="1"/>
        <v>0</v>
      </c>
    </row>
    <row r="9" spans="1:53" x14ac:dyDescent="0.3">
      <c r="A9" s="67" t="s">
        <v>199</v>
      </c>
      <c r="B9" s="4"/>
      <c r="C9" s="15"/>
      <c r="D9" s="15"/>
      <c r="E9" s="15" t="s">
        <v>139</v>
      </c>
      <c r="F9" s="15">
        <f t="shared" si="0"/>
        <v>4</v>
      </c>
      <c r="G9" s="15">
        <v>4</v>
      </c>
      <c r="H9" s="15"/>
      <c r="I9" s="15"/>
      <c r="J9" s="15"/>
      <c r="K9" s="16"/>
      <c r="L9" s="16"/>
      <c r="M9" s="16"/>
      <c r="N9" s="16"/>
      <c r="O9" s="16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>
        <v>22500</v>
      </c>
      <c r="AR9" s="7"/>
      <c r="AS9" s="15">
        <v>2022</v>
      </c>
      <c r="AT9" s="15" t="s">
        <v>218</v>
      </c>
      <c r="AU9" s="22"/>
      <c r="AV9" s="22"/>
      <c r="AW9" s="22"/>
      <c r="AX9" s="22"/>
      <c r="AY9" s="22"/>
      <c r="AZ9" s="22"/>
      <c r="BA9" s="25">
        <f t="shared" si="1"/>
        <v>0</v>
      </c>
    </row>
    <row r="10" spans="1:53" x14ac:dyDescent="0.3">
      <c r="A10" s="67" t="s">
        <v>200</v>
      </c>
      <c r="B10" s="4"/>
      <c r="C10" s="15"/>
      <c r="D10" s="15"/>
      <c r="E10" s="15" t="s">
        <v>139</v>
      </c>
      <c r="F10" s="15">
        <f t="shared" si="0"/>
        <v>4</v>
      </c>
      <c r="G10" s="15">
        <v>4</v>
      </c>
      <c r="H10" s="15"/>
      <c r="I10" s="15"/>
      <c r="J10" s="15"/>
      <c r="K10" s="16"/>
      <c r="L10" s="16"/>
      <c r="M10" s="16"/>
      <c r="N10" s="16"/>
      <c r="O10" s="16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27">
        <v>22000</v>
      </c>
      <c r="AR10" s="7"/>
      <c r="AS10" s="15">
        <v>2022</v>
      </c>
      <c r="AT10" s="15" t="s">
        <v>218</v>
      </c>
      <c r="AU10" s="22"/>
      <c r="AV10" s="22"/>
      <c r="AW10" s="22"/>
      <c r="AX10" s="22"/>
      <c r="AY10" s="22"/>
      <c r="AZ10" s="22"/>
      <c r="BA10" s="25">
        <f t="shared" si="1"/>
        <v>0</v>
      </c>
    </row>
    <row r="11" spans="1:53" x14ac:dyDescent="0.3">
      <c r="A11" s="67" t="s">
        <v>201</v>
      </c>
      <c r="B11" s="4"/>
      <c r="C11" s="15"/>
      <c r="D11" s="15"/>
      <c r="E11" s="15" t="s">
        <v>139</v>
      </c>
      <c r="F11" s="15">
        <f t="shared" si="0"/>
        <v>4</v>
      </c>
      <c r="G11" s="15">
        <v>4</v>
      </c>
      <c r="H11" s="15"/>
      <c r="I11" s="15"/>
      <c r="J11" s="15"/>
      <c r="K11" s="16"/>
      <c r="L11" s="16"/>
      <c r="M11" s="16"/>
      <c r="N11" s="16"/>
      <c r="O11" s="16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>
        <f>8523*4</f>
        <v>34092</v>
      </c>
      <c r="AR11" s="7"/>
      <c r="AS11" s="15">
        <v>2022</v>
      </c>
      <c r="AT11" s="15" t="s">
        <v>218</v>
      </c>
      <c r="AU11" s="22"/>
      <c r="AV11" s="22"/>
      <c r="AW11" s="22"/>
      <c r="AX11" s="22"/>
      <c r="AY11" s="22"/>
      <c r="AZ11" s="22"/>
      <c r="BA11" s="25">
        <f t="shared" si="1"/>
        <v>0</v>
      </c>
    </row>
    <row r="12" spans="1:53" x14ac:dyDescent="0.3">
      <c r="A12" s="67" t="s">
        <v>202</v>
      </c>
      <c r="B12" s="4"/>
      <c r="C12" s="15"/>
      <c r="D12" s="15"/>
      <c r="E12" s="15" t="s">
        <v>139</v>
      </c>
      <c r="F12" s="15">
        <f t="shared" si="0"/>
        <v>4</v>
      </c>
      <c r="G12" s="15">
        <v>4</v>
      </c>
      <c r="H12" s="15"/>
      <c r="I12" s="15"/>
      <c r="J12" s="15"/>
      <c r="K12" s="16"/>
      <c r="L12" s="16"/>
      <c r="M12" s="16"/>
      <c r="N12" s="16"/>
      <c r="O12" s="16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>
        <v>14980</v>
      </c>
      <c r="AR12" s="7"/>
      <c r="AS12" s="15">
        <v>2022</v>
      </c>
      <c r="AT12" s="15" t="s">
        <v>218</v>
      </c>
      <c r="AU12" s="22"/>
      <c r="AV12" s="22"/>
      <c r="AW12" s="22"/>
      <c r="AX12" s="22"/>
      <c r="AY12" s="22"/>
      <c r="AZ12" s="22"/>
      <c r="BA12" s="22">
        <f t="shared" si="1"/>
        <v>0</v>
      </c>
    </row>
    <row r="13" spans="1:53" x14ac:dyDescent="0.3">
      <c r="A13" s="67" t="s">
        <v>203</v>
      </c>
      <c r="B13" s="4"/>
      <c r="C13" s="15"/>
      <c r="D13" s="15"/>
      <c r="E13" s="15" t="s">
        <v>140</v>
      </c>
      <c r="F13" s="15">
        <f t="shared" si="0"/>
        <v>1</v>
      </c>
      <c r="G13" s="15">
        <v>0</v>
      </c>
      <c r="H13" s="15"/>
      <c r="I13" s="15"/>
      <c r="J13" s="15"/>
      <c r="K13" s="16"/>
      <c r="L13" s="16"/>
      <c r="M13" s="16"/>
      <c r="N13" s="16"/>
      <c r="O13" s="16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>
        <v>1920</v>
      </c>
      <c r="AR13" s="7"/>
      <c r="AS13" s="15">
        <v>2022</v>
      </c>
      <c r="AT13" s="15" t="s">
        <v>218</v>
      </c>
      <c r="AU13" s="22"/>
      <c r="AV13" s="22"/>
      <c r="AW13" s="22"/>
      <c r="AX13" s="22"/>
      <c r="AY13" s="22"/>
      <c r="AZ13" s="22"/>
      <c r="BA13" s="25">
        <f t="shared" si="1"/>
        <v>0</v>
      </c>
    </row>
    <row r="14" spans="1:53" x14ac:dyDescent="0.3">
      <c r="A14" s="67" t="s">
        <v>204</v>
      </c>
      <c r="B14" s="4"/>
      <c r="C14" s="15"/>
      <c r="D14" s="15"/>
      <c r="E14" s="15" t="s">
        <v>138</v>
      </c>
      <c r="F14" s="15">
        <f t="shared" si="0"/>
        <v>2</v>
      </c>
      <c r="G14" s="15">
        <v>2</v>
      </c>
      <c r="H14" s="15"/>
      <c r="I14" s="15"/>
      <c r="J14" s="15"/>
      <c r="K14" s="16"/>
      <c r="L14" s="16"/>
      <c r="M14" s="16"/>
      <c r="N14" s="16"/>
      <c r="O14" s="16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>
        <v>15040</v>
      </c>
      <c r="AR14" s="7"/>
      <c r="AS14" s="15">
        <v>2022</v>
      </c>
      <c r="AT14" s="15" t="s">
        <v>218</v>
      </c>
      <c r="AU14" s="22"/>
      <c r="AV14" s="22"/>
      <c r="AW14" s="22"/>
      <c r="AX14" s="22"/>
      <c r="AY14" s="22"/>
      <c r="AZ14" s="22"/>
      <c r="BA14" s="25">
        <f t="shared" si="1"/>
        <v>0</v>
      </c>
    </row>
    <row r="15" spans="1:53" x14ac:dyDescent="0.3">
      <c r="A15" s="67" t="s">
        <v>205</v>
      </c>
      <c r="B15" s="4"/>
      <c r="C15" s="15"/>
      <c r="D15" s="15"/>
      <c r="E15" s="15" t="s">
        <v>140</v>
      </c>
      <c r="F15" s="15">
        <f t="shared" si="0"/>
        <v>1</v>
      </c>
      <c r="G15" s="15">
        <v>0</v>
      </c>
      <c r="H15" s="15"/>
      <c r="I15" s="15"/>
      <c r="J15" s="15"/>
      <c r="K15" s="16"/>
      <c r="L15" s="16"/>
      <c r="M15" s="16"/>
      <c r="N15" s="16"/>
      <c r="O15" s="16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>
        <v>1920</v>
      </c>
      <c r="AR15" s="7"/>
      <c r="AS15" s="15">
        <v>2022</v>
      </c>
      <c r="AT15" s="15"/>
      <c r="AU15" s="22"/>
      <c r="AV15" s="22"/>
      <c r="AW15" s="22"/>
      <c r="AX15" s="22"/>
      <c r="AY15" s="22"/>
      <c r="AZ15" s="22"/>
      <c r="BA15" s="25">
        <f t="shared" si="1"/>
        <v>0</v>
      </c>
    </row>
    <row r="16" spans="1:53" x14ac:dyDescent="0.3">
      <c r="A16" s="4" t="s">
        <v>207</v>
      </c>
      <c r="B16" s="4"/>
      <c r="C16" s="15"/>
      <c r="D16" s="15"/>
      <c r="E16" s="15" t="s">
        <v>140</v>
      </c>
      <c r="F16" s="15">
        <f t="shared" si="0"/>
        <v>1</v>
      </c>
      <c r="G16" s="15">
        <v>1</v>
      </c>
      <c r="H16" s="15"/>
      <c r="I16" s="15"/>
      <c r="J16" s="15"/>
      <c r="K16" s="16"/>
      <c r="L16" s="16"/>
      <c r="M16" s="16"/>
      <c r="N16" s="16"/>
      <c r="O16" s="16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>
        <v>0</v>
      </c>
      <c r="AR16" s="7"/>
      <c r="AS16" s="15">
        <v>2022</v>
      </c>
      <c r="AT16" s="15"/>
      <c r="AU16" s="22"/>
      <c r="AV16" s="22"/>
      <c r="AW16" s="22"/>
      <c r="AX16" s="22"/>
      <c r="AY16" s="22"/>
      <c r="AZ16" s="22"/>
      <c r="BA16" s="25">
        <f t="shared" si="1"/>
        <v>0</v>
      </c>
    </row>
    <row r="17" spans="1:53" x14ac:dyDescent="0.3">
      <c r="A17" s="67" t="s">
        <v>206</v>
      </c>
      <c r="B17" s="4"/>
      <c r="C17" s="15"/>
      <c r="D17" s="15"/>
      <c r="E17" s="15" t="s">
        <v>138</v>
      </c>
      <c r="F17" s="15">
        <f t="shared" si="0"/>
        <v>2</v>
      </c>
      <c r="G17" s="15">
        <v>2</v>
      </c>
      <c r="H17" s="15"/>
      <c r="I17" s="15"/>
      <c r="J17" s="15"/>
      <c r="K17" s="16"/>
      <c r="L17" s="16"/>
      <c r="M17" s="16"/>
      <c r="N17" s="16"/>
      <c r="O17" s="1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>
        <v>3840</v>
      </c>
      <c r="AR17" s="7"/>
      <c r="AS17" s="15">
        <v>2022</v>
      </c>
      <c r="AT17" s="15"/>
      <c r="AU17" s="22"/>
      <c r="AV17" s="22"/>
      <c r="AW17" s="22"/>
      <c r="AX17" s="22"/>
      <c r="AY17" s="22"/>
      <c r="AZ17" s="22"/>
      <c r="BA17" s="22">
        <f t="shared" si="1"/>
        <v>0</v>
      </c>
    </row>
    <row r="18" spans="1:53" ht="28.8" x14ac:dyDescent="0.3">
      <c r="A18" s="4" t="s">
        <v>210</v>
      </c>
      <c r="B18" s="4"/>
      <c r="C18" s="15"/>
      <c r="D18" s="15"/>
      <c r="E18" s="15" t="s">
        <v>140</v>
      </c>
      <c r="F18" s="15">
        <f t="shared" si="0"/>
        <v>1</v>
      </c>
      <c r="G18" s="15">
        <v>1</v>
      </c>
      <c r="H18" s="15"/>
      <c r="I18" s="15"/>
      <c r="J18" s="15"/>
      <c r="K18" s="16"/>
      <c r="L18" s="16"/>
      <c r="M18" s="16"/>
      <c r="N18" s="16"/>
      <c r="O18" s="16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>
        <v>3040</v>
      </c>
      <c r="AR18" s="7"/>
      <c r="AS18" s="15">
        <v>2022</v>
      </c>
      <c r="AT18" s="15"/>
      <c r="AU18" s="22"/>
      <c r="AV18" s="22"/>
      <c r="AW18" s="22"/>
      <c r="AX18" s="22"/>
      <c r="AY18" s="22"/>
      <c r="AZ18" s="22"/>
      <c r="BA18" s="25">
        <f t="shared" si="1"/>
        <v>0</v>
      </c>
    </row>
    <row r="19" spans="1:53" ht="28.8" x14ac:dyDescent="0.3">
      <c r="A19" s="67" t="s">
        <v>208</v>
      </c>
      <c r="B19" s="4"/>
      <c r="C19" s="15"/>
      <c r="D19" s="15"/>
      <c r="E19" s="15" t="s">
        <v>138</v>
      </c>
      <c r="F19" s="15">
        <f t="shared" si="0"/>
        <v>2</v>
      </c>
      <c r="G19" s="15">
        <v>2</v>
      </c>
      <c r="H19" s="15"/>
      <c r="I19" s="15"/>
      <c r="J19" s="15"/>
      <c r="K19" s="16"/>
      <c r="L19" s="16"/>
      <c r="M19" s="16"/>
      <c r="N19" s="16"/>
      <c r="O19" s="16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>
        <v>8040</v>
      </c>
      <c r="AR19" s="7"/>
      <c r="AS19" s="15">
        <v>2022</v>
      </c>
      <c r="AT19" s="15"/>
      <c r="AU19" s="22"/>
      <c r="AV19" s="22"/>
      <c r="AW19" s="22"/>
      <c r="AX19" s="22"/>
      <c r="AY19" s="22"/>
      <c r="AZ19" s="22"/>
      <c r="BA19" s="25">
        <f t="shared" si="1"/>
        <v>0</v>
      </c>
    </row>
    <row r="20" spans="1:53" x14ac:dyDescent="0.3">
      <c r="A20" s="4" t="s">
        <v>211</v>
      </c>
      <c r="B20" s="4"/>
      <c r="C20" s="15"/>
      <c r="D20" s="15"/>
      <c r="E20" s="15" t="s">
        <v>140</v>
      </c>
      <c r="F20" s="15">
        <f t="shared" si="0"/>
        <v>1</v>
      </c>
      <c r="G20" s="15">
        <v>1</v>
      </c>
      <c r="H20" s="15"/>
      <c r="I20" s="15"/>
      <c r="J20" s="15"/>
      <c r="K20" s="16"/>
      <c r="L20" s="16"/>
      <c r="M20" s="16"/>
      <c r="N20" s="16"/>
      <c r="O20" s="16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>
        <v>960</v>
      </c>
      <c r="AR20" s="7"/>
      <c r="AS20" s="15">
        <v>2022</v>
      </c>
      <c r="AT20" s="15"/>
      <c r="AU20" s="22"/>
      <c r="AV20" s="22"/>
      <c r="AW20" s="22"/>
      <c r="AX20" s="22"/>
      <c r="AY20" s="22"/>
      <c r="AZ20" s="22"/>
      <c r="BA20" s="25">
        <f t="shared" si="1"/>
        <v>0</v>
      </c>
    </row>
    <row r="21" spans="1:53" x14ac:dyDescent="0.3">
      <c r="A21" s="4" t="s">
        <v>212</v>
      </c>
      <c r="B21" s="4"/>
      <c r="C21" s="15"/>
      <c r="D21" s="15"/>
      <c r="E21" s="15" t="s">
        <v>140</v>
      </c>
      <c r="F21" s="15">
        <f t="shared" si="0"/>
        <v>1</v>
      </c>
      <c r="G21" s="15">
        <v>1</v>
      </c>
      <c r="H21" s="15"/>
      <c r="I21" s="15"/>
      <c r="J21" s="15"/>
      <c r="K21" s="16"/>
      <c r="L21" s="16"/>
      <c r="M21" s="16"/>
      <c r="N21" s="16"/>
      <c r="O21" s="16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>
        <v>2420</v>
      </c>
      <c r="AR21" s="7"/>
      <c r="AS21" s="15">
        <v>2022</v>
      </c>
      <c r="AT21" s="15"/>
      <c r="AU21" s="22"/>
      <c r="AV21" s="22"/>
      <c r="AW21" s="22"/>
      <c r="AX21" s="22"/>
      <c r="AY21" s="22"/>
      <c r="AZ21" s="22"/>
      <c r="BA21" s="22">
        <f t="shared" si="1"/>
        <v>0</v>
      </c>
    </row>
    <row r="22" spans="1:53" x14ac:dyDescent="0.3">
      <c r="A22" s="67" t="s">
        <v>213</v>
      </c>
      <c r="B22" s="4"/>
      <c r="C22" s="15"/>
      <c r="D22" s="15"/>
      <c r="E22" s="15" t="s">
        <v>140</v>
      </c>
      <c r="F22" s="15">
        <f t="shared" si="0"/>
        <v>1</v>
      </c>
      <c r="G22" s="15">
        <v>0</v>
      </c>
      <c r="H22" s="15"/>
      <c r="I22" s="15"/>
      <c r="J22" s="15"/>
      <c r="K22" s="16"/>
      <c r="L22" s="16"/>
      <c r="M22" s="16"/>
      <c r="N22" s="16"/>
      <c r="O22" s="16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>
        <f>2320+960</f>
        <v>3280</v>
      </c>
      <c r="AR22" s="7"/>
      <c r="AS22" s="15">
        <v>2022</v>
      </c>
      <c r="AT22" s="15"/>
      <c r="AU22" s="22"/>
      <c r="AV22" s="22"/>
      <c r="AW22" s="22"/>
      <c r="AX22" s="22"/>
      <c r="AY22" s="22"/>
      <c r="AZ22" s="22"/>
      <c r="BA22" s="22">
        <f t="shared" si="1"/>
        <v>0</v>
      </c>
    </row>
    <row r="23" spans="1:53" x14ac:dyDescent="0.3">
      <c r="A23" s="67" t="s">
        <v>214</v>
      </c>
      <c r="B23" s="4"/>
      <c r="C23" s="15"/>
      <c r="D23" s="15"/>
      <c r="E23" s="15" t="s">
        <v>140</v>
      </c>
      <c r="F23" s="15">
        <f t="shared" si="0"/>
        <v>1</v>
      </c>
      <c r="G23" s="15">
        <v>1</v>
      </c>
      <c r="H23" s="15"/>
      <c r="I23" s="15"/>
      <c r="J23" s="15"/>
      <c r="K23" s="16"/>
      <c r="L23" s="16"/>
      <c r="M23" s="16"/>
      <c r="N23" s="16"/>
      <c r="O23" s="16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>
        <v>10700</v>
      </c>
      <c r="AR23" s="7"/>
      <c r="AS23" s="15">
        <v>2022</v>
      </c>
      <c r="AT23" s="15"/>
      <c r="AU23" s="22"/>
      <c r="AV23" s="22"/>
      <c r="AW23" s="22"/>
      <c r="AX23" s="22"/>
      <c r="AY23" s="22"/>
      <c r="AZ23" s="22"/>
      <c r="BA23" s="25">
        <f t="shared" si="1"/>
        <v>0</v>
      </c>
    </row>
    <row r="24" spans="1:53" x14ac:dyDescent="0.3">
      <c r="A24" s="67" t="s">
        <v>240</v>
      </c>
      <c r="B24" s="4"/>
      <c r="C24" s="15"/>
      <c r="D24" s="15"/>
      <c r="E24" s="15" t="s">
        <v>138</v>
      </c>
      <c r="F24" s="15">
        <f t="shared" si="0"/>
        <v>2</v>
      </c>
      <c r="G24" s="15">
        <v>2</v>
      </c>
      <c r="H24" s="15"/>
      <c r="I24" s="15"/>
      <c r="J24" s="15"/>
      <c r="K24" s="16"/>
      <c r="L24" s="16"/>
      <c r="M24" s="16"/>
      <c r="N24" s="16"/>
      <c r="O24" s="16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15">
        <v>2022</v>
      </c>
      <c r="AT24" s="15"/>
      <c r="AU24" s="22"/>
      <c r="AV24" s="22"/>
      <c r="AW24" s="22"/>
      <c r="AX24" s="22"/>
      <c r="AY24" s="22"/>
      <c r="AZ24" s="22"/>
      <c r="BA24" s="25">
        <f t="shared" si="1"/>
        <v>0</v>
      </c>
    </row>
    <row r="25" spans="1:53" x14ac:dyDescent="0.3">
      <c r="A25" s="67" t="s">
        <v>241</v>
      </c>
      <c r="B25" s="4"/>
      <c r="C25" s="15"/>
      <c r="D25" s="15"/>
      <c r="E25" s="15" t="s">
        <v>138</v>
      </c>
      <c r="F25" s="15">
        <f t="shared" si="0"/>
        <v>2</v>
      </c>
      <c r="G25" s="15">
        <v>1</v>
      </c>
      <c r="H25" s="15"/>
      <c r="I25" s="15"/>
      <c r="J25" s="15"/>
      <c r="K25" s="16"/>
      <c r="L25" s="16"/>
      <c r="M25" s="16"/>
      <c r="N25" s="16"/>
      <c r="O25" s="16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>
        <v>20000</v>
      </c>
      <c r="AR25" s="7"/>
      <c r="AS25" s="15">
        <v>2022</v>
      </c>
      <c r="AT25" s="15"/>
      <c r="AU25" s="22"/>
      <c r="AV25" s="22"/>
      <c r="AW25" s="22"/>
      <c r="AX25" s="22"/>
      <c r="AY25" s="22"/>
      <c r="AZ25" s="22"/>
      <c r="BA25" s="25">
        <f t="shared" si="1"/>
        <v>0</v>
      </c>
    </row>
    <row r="26" spans="1:53" x14ac:dyDescent="0.3">
      <c r="A26" s="4" t="s">
        <v>245</v>
      </c>
      <c r="B26" s="4"/>
      <c r="C26" s="15"/>
      <c r="D26" s="15"/>
      <c r="E26" s="15" t="s">
        <v>138</v>
      </c>
      <c r="F26" s="15">
        <f t="shared" si="0"/>
        <v>2</v>
      </c>
      <c r="G26" s="15">
        <v>1</v>
      </c>
      <c r="H26" s="15"/>
      <c r="I26" s="15"/>
      <c r="J26" s="15"/>
      <c r="K26" s="16"/>
      <c r="L26" s="16"/>
      <c r="M26" s="16"/>
      <c r="N26" s="16"/>
      <c r="O26" s="16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>
        <f>2800*4</f>
        <v>11200</v>
      </c>
      <c r="AR26" s="7"/>
      <c r="AS26" s="15">
        <v>2022</v>
      </c>
      <c r="AT26" s="15"/>
      <c r="AU26" s="22"/>
      <c r="AV26" s="22"/>
      <c r="AW26" s="22"/>
      <c r="AX26" s="22"/>
      <c r="AY26" s="22"/>
      <c r="AZ26" s="22"/>
      <c r="BA26" s="22">
        <f t="shared" si="1"/>
        <v>0</v>
      </c>
    </row>
    <row r="27" spans="1:53" x14ac:dyDescent="0.3">
      <c r="A27" s="176" t="s">
        <v>219</v>
      </c>
      <c r="B27" s="4"/>
      <c r="C27" s="15"/>
      <c r="D27" s="15"/>
      <c r="E27" s="15" t="s">
        <v>138</v>
      </c>
      <c r="F27" s="15">
        <f t="shared" si="0"/>
        <v>2</v>
      </c>
      <c r="G27" s="15">
        <v>2</v>
      </c>
      <c r="H27" s="15"/>
      <c r="I27" s="15"/>
      <c r="J27" s="15"/>
      <c r="K27" s="16"/>
      <c r="L27" s="16"/>
      <c r="M27" s="16"/>
      <c r="N27" s="16"/>
      <c r="O27" s="16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>
        <v>6000</v>
      </c>
      <c r="AR27" s="7"/>
      <c r="AS27" s="15">
        <v>2022</v>
      </c>
      <c r="AT27" s="15"/>
      <c r="AU27" s="22"/>
      <c r="AV27" s="22"/>
      <c r="AW27" s="22"/>
      <c r="AX27" s="22"/>
      <c r="AY27" s="22"/>
      <c r="AZ27" s="22"/>
      <c r="BA27" s="22">
        <f t="shared" si="1"/>
        <v>0</v>
      </c>
    </row>
    <row r="28" spans="1:53" x14ac:dyDescent="0.3">
      <c r="A28" s="67" t="s">
        <v>220</v>
      </c>
      <c r="B28" s="4"/>
      <c r="C28" s="15"/>
      <c r="D28" s="15"/>
      <c r="E28" s="15" t="s">
        <v>140</v>
      </c>
      <c r="F28" s="15">
        <f t="shared" si="0"/>
        <v>1</v>
      </c>
      <c r="G28" s="15">
        <v>0</v>
      </c>
      <c r="H28" s="15"/>
      <c r="I28" s="15"/>
      <c r="J28" s="15"/>
      <c r="K28" s="16"/>
      <c r="L28" s="16"/>
      <c r="M28" s="16"/>
      <c r="N28" s="16"/>
      <c r="O28" s="16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>
        <v>5000</v>
      </c>
      <c r="AR28" s="7"/>
      <c r="AS28" s="15">
        <v>2022</v>
      </c>
      <c r="AT28" s="15"/>
      <c r="AU28" s="22"/>
      <c r="AV28" s="22"/>
      <c r="AW28" s="22"/>
      <c r="AX28" s="22"/>
      <c r="AY28" s="22"/>
      <c r="AZ28" s="22"/>
      <c r="BA28" s="22">
        <f t="shared" si="1"/>
        <v>0</v>
      </c>
    </row>
    <row r="29" spans="1:53" x14ac:dyDescent="0.3">
      <c r="A29" s="4" t="s">
        <v>221</v>
      </c>
      <c r="B29" s="4"/>
      <c r="C29" s="15"/>
      <c r="D29" s="15"/>
      <c r="E29" s="15" t="s">
        <v>140</v>
      </c>
      <c r="F29" s="15">
        <f t="shared" si="0"/>
        <v>1</v>
      </c>
      <c r="G29" s="15">
        <v>0</v>
      </c>
      <c r="H29" s="15"/>
      <c r="I29" s="15"/>
      <c r="J29" s="15"/>
      <c r="K29" s="16"/>
      <c r="L29" s="16"/>
      <c r="M29" s="16"/>
      <c r="N29" s="16"/>
      <c r="O29" s="16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>
        <v>3000</v>
      </c>
      <c r="AR29" s="7"/>
      <c r="AS29" s="15">
        <v>2022</v>
      </c>
      <c r="AT29" s="15"/>
      <c r="AU29" s="22"/>
      <c r="AV29" s="22"/>
      <c r="AW29" s="22"/>
      <c r="AX29" s="22"/>
      <c r="AY29" s="22"/>
      <c r="AZ29" s="22"/>
      <c r="BA29" s="22">
        <f t="shared" si="1"/>
        <v>0</v>
      </c>
    </row>
    <row r="30" spans="1:53" x14ac:dyDescent="0.3">
      <c r="A30" s="176" t="s">
        <v>222</v>
      </c>
      <c r="B30" s="4"/>
      <c r="C30" s="15"/>
      <c r="D30" s="15"/>
      <c r="E30" s="15" t="s">
        <v>138</v>
      </c>
      <c r="F30" s="15">
        <f t="shared" si="0"/>
        <v>2</v>
      </c>
      <c r="G30" s="15">
        <v>2</v>
      </c>
      <c r="H30" s="15"/>
      <c r="I30" s="15"/>
      <c r="J30" s="15"/>
      <c r="K30" s="16"/>
      <c r="L30" s="16"/>
      <c r="M30" s="16"/>
      <c r="N30" s="16"/>
      <c r="O30" s="16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>
        <v>7100</v>
      </c>
      <c r="AR30" s="7"/>
      <c r="AS30" s="15">
        <v>2022</v>
      </c>
      <c r="AT30" s="15"/>
      <c r="AU30" s="22"/>
      <c r="AV30" s="22"/>
      <c r="AW30" s="22"/>
      <c r="AX30" s="22"/>
      <c r="AY30" s="22"/>
      <c r="AZ30" s="22"/>
      <c r="BA30" s="22">
        <f t="shared" si="1"/>
        <v>0</v>
      </c>
    </row>
    <row r="31" spans="1:53" x14ac:dyDescent="0.3">
      <c r="A31" s="4"/>
      <c r="B31" s="4"/>
      <c r="C31" s="15"/>
      <c r="D31" s="15"/>
      <c r="E31" s="15"/>
      <c r="F31" s="15">
        <f t="shared" si="0"/>
        <v>0</v>
      </c>
      <c r="G31" s="15"/>
      <c r="H31" s="15"/>
      <c r="I31" s="15"/>
      <c r="J31" s="15"/>
      <c r="K31" s="16"/>
      <c r="L31" s="16"/>
      <c r="M31" s="16"/>
      <c r="N31" s="16"/>
      <c r="O31" s="16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15"/>
      <c r="AT31" s="15"/>
      <c r="AU31" s="22"/>
      <c r="AV31" s="22"/>
      <c r="AW31" s="22"/>
      <c r="AX31" s="22"/>
      <c r="AY31" s="22"/>
      <c r="AZ31" s="22"/>
      <c r="BA31" s="22">
        <f t="shared" si="1"/>
        <v>0</v>
      </c>
    </row>
    <row r="32" spans="1:53" x14ac:dyDescent="0.3">
      <c r="F32" s="10">
        <f>SUBTOTAL(9,F3:F31)</f>
        <v>55</v>
      </c>
      <c r="G32" s="10">
        <f>SUBTOTAL(9,G3:G31)</f>
        <v>47</v>
      </c>
      <c r="AQ32" s="11">
        <f>SUBTOTAL(9,AQ3:AQ31)</f>
        <v>244702</v>
      </c>
    </row>
    <row r="34" spans="1:53" x14ac:dyDescent="0.3">
      <c r="A34" s="19" t="s">
        <v>164</v>
      </c>
      <c r="B34" s="19" t="s">
        <v>70</v>
      </c>
      <c r="C34" s="19" t="s">
        <v>163</v>
      </c>
      <c r="H34" s="19" t="s">
        <v>165</v>
      </c>
      <c r="I34" s="19" t="s">
        <v>143</v>
      </c>
      <c r="AQ34" s="5" t="s">
        <v>180</v>
      </c>
    </row>
    <row r="35" spans="1:53" ht="28.8" x14ac:dyDescent="0.3">
      <c r="A35" s="26" t="s">
        <v>148</v>
      </c>
      <c r="B35" s="4" t="s">
        <v>153</v>
      </c>
      <c r="C35" s="15">
        <v>6</v>
      </c>
      <c r="H35" s="15" t="s">
        <v>166</v>
      </c>
      <c r="I35" s="15">
        <v>5</v>
      </c>
      <c r="AQ35" s="5" t="s">
        <v>181</v>
      </c>
    </row>
    <row r="36" spans="1:53" ht="28.8" x14ac:dyDescent="0.3">
      <c r="A36" s="26" t="s">
        <v>158</v>
      </c>
      <c r="B36" s="4" t="s">
        <v>162</v>
      </c>
      <c r="C36" s="15">
        <v>5</v>
      </c>
      <c r="H36" s="15" t="s">
        <v>167</v>
      </c>
      <c r="I36" s="15">
        <v>3</v>
      </c>
      <c r="AQ36" s="5" t="s">
        <v>182</v>
      </c>
      <c r="AS36" s="5" t="s">
        <v>183</v>
      </c>
    </row>
    <row r="37" spans="1:53" x14ac:dyDescent="0.3">
      <c r="A37" s="26" t="s">
        <v>119</v>
      </c>
      <c r="B37" s="4" t="s">
        <v>161</v>
      </c>
      <c r="C37" s="15">
        <v>4</v>
      </c>
      <c r="H37" s="15" t="s">
        <v>168</v>
      </c>
      <c r="I37" s="15">
        <v>1</v>
      </c>
      <c r="AQ37" s="5" t="s">
        <v>184</v>
      </c>
      <c r="AS37" s="5" t="s">
        <v>185</v>
      </c>
    </row>
    <row r="38" spans="1:53" ht="43.2" x14ac:dyDescent="0.3">
      <c r="A38" s="26" t="s">
        <v>155</v>
      </c>
      <c r="B38" s="4" t="s">
        <v>169</v>
      </c>
      <c r="C38" s="15">
        <v>3</v>
      </c>
    </row>
    <row r="39" spans="1:53" x14ac:dyDescent="0.3">
      <c r="A39" s="26" t="s">
        <v>149</v>
      </c>
      <c r="B39" s="4" t="s">
        <v>160</v>
      </c>
      <c r="C39" s="15">
        <v>2</v>
      </c>
    </row>
    <row r="40" spans="1:53" x14ac:dyDescent="0.3">
      <c r="A40" s="26" t="s">
        <v>157</v>
      </c>
      <c r="B40" s="4" t="s">
        <v>159</v>
      </c>
      <c r="C40" s="15">
        <v>1</v>
      </c>
    </row>
    <row r="43" spans="1:53" x14ac:dyDescent="0.3">
      <c r="A43" s="4" t="s">
        <v>1</v>
      </c>
      <c r="B43" s="4"/>
      <c r="C43" s="15" t="s">
        <v>27</v>
      </c>
      <c r="D43" s="15"/>
      <c r="E43" s="15" t="s">
        <v>138</v>
      </c>
      <c r="F43" s="15">
        <f t="shared" ref="F43:F49" si="2">IF(E43="S",1,IF(E43="M",2,IF(E43="L",4,0)))</f>
        <v>2</v>
      </c>
      <c r="G43" s="15"/>
      <c r="H43" s="15" t="s">
        <v>127</v>
      </c>
      <c r="I43" s="15" t="s">
        <v>127</v>
      </c>
      <c r="J43" s="15" t="s">
        <v>68</v>
      </c>
      <c r="K43" s="16"/>
      <c r="L43" s="16"/>
      <c r="M43" s="16"/>
      <c r="N43" s="16"/>
      <c r="O43" s="16" t="s">
        <v>115</v>
      </c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>
        <v>4000</v>
      </c>
      <c r="AR43" s="7"/>
      <c r="AS43" s="15">
        <v>2024</v>
      </c>
      <c r="AT43" s="15"/>
      <c r="AU43" s="22"/>
      <c r="AV43" s="22"/>
      <c r="AW43" s="22"/>
      <c r="AX43" s="22"/>
      <c r="AY43" s="22"/>
      <c r="AZ43" s="22"/>
      <c r="BA43" s="22">
        <f t="shared" ref="BA43:BA49" si="3">AU43*$AU$1+AY43*$AY$1+AW43*$AW$1+AX43*$AX$1+AV43*$AV$1+AZ43*$AZ$1</f>
        <v>0</v>
      </c>
    </row>
    <row r="44" spans="1:53" x14ac:dyDescent="0.3">
      <c r="A44" s="4" t="s">
        <v>150</v>
      </c>
      <c r="B44" s="4"/>
      <c r="C44" s="15" t="s">
        <v>27</v>
      </c>
      <c r="D44" s="15"/>
      <c r="E44" s="15"/>
      <c r="F44" s="15">
        <f t="shared" si="2"/>
        <v>0</v>
      </c>
      <c r="G44" s="15"/>
      <c r="H44" s="15" t="s">
        <v>127</v>
      </c>
      <c r="I44" s="15" t="s">
        <v>127</v>
      </c>
      <c r="J44" s="15" t="s">
        <v>68</v>
      </c>
      <c r="K44" s="16"/>
      <c r="L44" s="16"/>
      <c r="M44" s="16"/>
      <c r="N44" s="16"/>
      <c r="O44" s="16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>
        <v>12000</v>
      </c>
      <c r="AR44" s="7"/>
      <c r="AS44" s="15">
        <v>2023</v>
      </c>
      <c r="AT44" s="15"/>
      <c r="AU44" s="22"/>
      <c r="AV44" s="22"/>
      <c r="AW44" s="22"/>
      <c r="AX44" s="22"/>
      <c r="AY44" s="22"/>
      <c r="AZ44" s="22"/>
      <c r="BA44" s="22">
        <f t="shared" si="3"/>
        <v>0</v>
      </c>
    </row>
    <row r="45" spans="1:53" ht="28.8" x14ac:dyDescent="0.3">
      <c r="A45" s="4" t="s">
        <v>10</v>
      </c>
      <c r="B45" s="4"/>
      <c r="C45" s="15" t="s">
        <v>27</v>
      </c>
      <c r="D45" s="15"/>
      <c r="E45" s="15" t="s">
        <v>138</v>
      </c>
      <c r="F45" s="15">
        <f t="shared" si="2"/>
        <v>2</v>
      </c>
      <c r="G45" s="15"/>
      <c r="H45" s="15" t="s">
        <v>127</v>
      </c>
      <c r="I45" s="15" t="s">
        <v>69</v>
      </c>
      <c r="J45" s="15" t="s">
        <v>68</v>
      </c>
      <c r="K45" s="16" t="s">
        <v>115</v>
      </c>
      <c r="L45" s="16" t="s">
        <v>115</v>
      </c>
      <c r="M45" s="16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>
        <v>0</v>
      </c>
      <c r="AR45" s="7"/>
      <c r="AS45" s="15">
        <v>2024</v>
      </c>
      <c r="AT45" s="15"/>
      <c r="AU45" s="22"/>
      <c r="AV45" s="22"/>
      <c r="AW45" s="22"/>
      <c r="AX45" s="22"/>
      <c r="AY45" s="22"/>
      <c r="AZ45" s="22"/>
      <c r="BA45" s="22">
        <f t="shared" si="3"/>
        <v>0</v>
      </c>
    </row>
    <row r="46" spans="1:53" x14ac:dyDescent="0.3">
      <c r="A46" s="4" t="s">
        <v>124</v>
      </c>
      <c r="B46" s="4"/>
      <c r="C46" s="15" t="s">
        <v>27</v>
      </c>
      <c r="D46" s="15"/>
      <c r="E46" s="15"/>
      <c r="F46" s="15">
        <f t="shared" si="2"/>
        <v>0</v>
      </c>
      <c r="G46" s="15"/>
      <c r="H46" s="15" t="s">
        <v>127</v>
      </c>
      <c r="I46" s="15" t="s">
        <v>127</v>
      </c>
      <c r="J46" s="15" t="s">
        <v>68</v>
      </c>
      <c r="K46" s="16"/>
      <c r="L46" s="16"/>
      <c r="M46" s="16"/>
      <c r="N46" s="16"/>
      <c r="O46" s="16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>
        <v>13200</v>
      </c>
      <c r="AR46" s="7"/>
      <c r="AS46" s="15">
        <v>2023</v>
      </c>
      <c r="AT46" s="15"/>
      <c r="AU46" s="22"/>
      <c r="AV46" s="22"/>
      <c r="AW46" s="22"/>
      <c r="AX46" s="22"/>
      <c r="AY46" s="22"/>
      <c r="AZ46" s="22"/>
      <c r="BA46" s="22">
        <f t="shared" si="3"/>
        <v>0</v>
      </c>
    </row>
    <row r="47" spans="1:53" x14ac:dyDescent="0.3">
      <c r="A47" s="4" t="s">
        <v>124</v>
      </c>
      <c r="B47" s="4"/>
      <c r="C47" s="15" t="s">
        <v>27</v>
      </c>
      <c r="D47" s="15"/>
      <c r="E47" s="15"/>
      <c r="F47" s="15">
        <f t="shared" si="2"/>
        <v>0</v>
      </c>
      <c r="G47" s="15"/>
      <c r="H47" s="15" t="s">
        <v>127</v>
      </c>
      <c r="I47" s="15" t="s">
        <v>127</v>
      </c>
      <c r="J47" s="15" t="s">
        <v>68</v>
      </c>
      <c r="K47" s="16"/>
      <c r="L47" s="16"/>
      <c r="M47" s="16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>
        <v>13200</v>
      </c>
      <c r="AR47" s="7"/>
      <c r="AS47" s="15">
        <v>2023</v>
      </c>
      <c r="AT47" s="15"/>
      <c r="AU47" s="22"/>
      <c r="AV47" s="22"/>
      <c r="AW47" s="22"/>
      <c r="AX47" s="22"/>
      <c r="AY47" s="22"/>
      <c r="AZ47" s="22"/>
      <c r="BA47" s="22">
        <f t="shared" si="3"/>
        <v>0</v>
      </c>
    </row>
    <row r="48" spans="1:53" x14ac:dyDescent="0.3">
      <c r="A48" s="4" t="s">
        <v>125</v>
      </c>
      <c r="B48" s="4"/>
      <c r="C48" s="15" t="s">
        <v>27</v>
      </c>
      <c r="D48" s="15"/>
      <c r="E48" s="15"/>
      <c r="F48" s="15">
        <f t="shared" si="2"/>
        <v>0</v>
      </c>
      <c r="G48" s="15"/>
      <c r="H48" s="15" t="s">
        <v>127</v>
      </c>
      <c r="I48" s="15" t="s">
        <v>127</v>
      </c>
      <c r="J48" s="15" t="s">
        <v>68</v>
      </c>
      <c r="K48" s="16"/>
      <c r="L48" s="16"/>
      <c r="M48" s="16"/>
      <c r="N48" s="16"/>
      <c r="O48" s="16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>
        <v>4560</v>
      </c>
      <c r="AR48" s="7"/>
      <c r="AS48" s="15">
        <v>2023</v>
      </c>
      <c r="AT48" s="15"/>
      <c r="AU48" s="22"/>
      <c r="AV48" s="22"/>
      <c r="AW48" s="22"/>
      <c r="AX48" s="22"/>
      <c r="AY48" s="22"/>
      <c r="AZ48" s="22"/>
      <c r="BA48" s="22">
        <f t="shared" si="3"/>
        <v>0</v>
      </c>
    </row>
    <row r="49" spans="1:53" x14ac:dyDescent="0.3">
      <c r="A49" s="4" t="s">
        <v>126</v>
      </c>
      <c r="B49" s="4"/>
      <c r="C49" s="15" t="s">
        <v>27</v>
      </c>
      <c r="D49" s="15"/>
      <c r="E49" s="15"/>
      <c r="F49" s="15">
        <f t="shared" si="2"/>
        <v>0</v>
      </c>
      <c r="G49" s="15"/>
      <c r="H49" s="15" t="s">
        <v>127</v>
      </c>
      <c r="I49" s="15" t="s">
        <v>127</v>
      </c>
      <c r="J49" s="15" t="s">
        <v>68</v>
      </c>
      <c r="K49" s="16"/>
      <c r="L49" s="16"/>
      <c r="M49" s="16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>
        <v>7200</v>
      </c>
      <c r="AR49" s="7"/>
      <c r="AS49" s="15">
        <v>2023</v>
      </c>
      <c r="AT49" s="15"/>
      <c r="AU49" s="22"/>
      <c r="AV49" s="22"/>
      <c r="AW49" s="22"/>
      <c r="AX49" s="22"/>
      <c r="AY49" s="22"/>
      <c r="AZ49" s="22"/>
      <c r="BA49" s="22">
        <f t="shared" si="3"/>
        <v>0</v>
      </c>
    </row>
  </sheetData>
  <autoFilter ref="A2:BW31" xr:uid="{07BDA655-6DB5-4725-88DD-7703D1E1CA63}"/>
  <mergeCells count="3">
    <mergeCell ref="C1:D1"/>
    <mergeCell ref="E1:G1"/>
    <mergeCell ref="K1:O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8BFC1-31E6-4E2E-AC40-227EE8C7BEFB}">
  <dimension ref="A1:BW82"/>
  <sheetViews>
    <sheetView showGridLines="0" workbookViewId="0">
      <pane xSplit="2" ySplit="1" topLeftCell="C2" activePane="bottomRight" state="frozen"/>
      <selection pane="topRight" activeCell="D1" sqref="D1"/>
      <selection pane="bottomLeft" activeCell="A3" sqref="A3"/>
      <selection pane="bottomRight" activeCell="G11" sqref="G11"/>
    </sheetView>
  </sheetViews>
  <sheetFormatPr baseColWidth="10" defaultColWidth="0" defaultRowHeight="14.4" x14ac:dyDescent="0.3"/>
  <cols>
    <col min="1" max="1" width="38.109375" style="6" customWidth="1"/>
    <col min="2" max="3" width="12.109375" style="13" customWidth="1"/>
    <col min="4" max="6" width="4" style="13" customWidth="1"/>
    <col min="7" max="11" width="3.6640625" style="13" customWidth="1"/>
    <col min="12" max="12" width="13.88671875" style="5" bestFit="1" customWidth="1"/>
    <col min="13" max="13" width="11.44140625" style="5" customWidth="1"/>
    <col min="14" max="14" width="8" style="5" bestFit="1" customWidth="1"/>
    <col min="15" max="17" width="11.44140625" style="5" customWidth="1"/>
    <col min="18" max="20" width="11.44140625" style="5" hidden="1" customWidth="1"/>
    <col min="21" max="22" width="0" style="5" hidden="1" customWidth="1"/>
    <col min="23" max="27" width="11.44140625" style="5" hidden="1" customWidth="1"/>
    <col min="28" max="44" width="0" style="5" hidden="1" customWidth="1"/>
    <col min="45" max="47" width="11.44140625" style="5" hidden="1" customWidth="1"/>
    <col min="48" max="49" width="0" style="5" hidden="1" customWidth="1"/>
    <col min="50" max="54" width="11.44140625" style="5" hidden="1" customWidth="1"/>
    <col min="55" max="75" width="0" style="5" hidden="1" customWidth="1"/>
    <col min="76" max="16384" width="11.44140625" style="5" hidden="1"/>
  </cols>
  <sheetData>
    <row r="1" spans="1:14" ht="43.2" x14ac:dyDescent="0.3">
      <c r="A1" s="9" t="s">
        <v>49</v>
      </c>
      <c r="B1" s="10" t="s">
        <v>104</v>
      </c>
      <c r="C1" s="10" t="s">
        <v>237</v>
      </c>
      <c r="D1" s="23" t="s">
        <v>137</v>
      </c>
      <c r="E1" s="23" t="s">
        <v>143</v>
      </c>
      <c r="F1" s="23" t="s">
        <v>156</v>
      </c>
      <c r="G1" s="20" t="s">
        <v>82</v>
      </c>
      <c r="H1" s="20" t="s">
        <v>76</v>
      </c>
      <c r="I1" s="20" t="s">
        <v>154</v>
      </c>
      <c r="J1" s="20" t="s">
        <v>130</v>
      </c>
      <c r="K1" s="20" t="s">
        <v>117</v>
      </c>
      <c r="L1" s="10" t="s">
        <v>66</v>
      </c>
      <c r="M1" s="10" t="s">
        <v>129</v>
      </c>
      <c r="N1" s="10" t="s">
        <v>244</v>
      </c>
    </row>
    <row r="2" spans="1:14" ht="28.8" x14ac:dyDescent="0.3">
      <c r="A2" s="4" t="s">
        <v>229</v>
      </c>
      <c r="B2" s="15" t="s">
        <v>243</v>
      </c>
      <c r="C2" s="15" t="s">
        <v>16</v>
      </c>
      <c r="D2" s="15" t="s">
        <v>139</v>
      </c>
      <c r="E2" s="15">
        <f t="shared" ref="E2:E82" si="0">IF(D2="S",1,IF(D2="M",2,IF(D2="L",4,0)))</f>
        <v>4</v>
      </c>
      <c r="F2" s="15">
        <v>4</v>
      </c>
      <c r="G2" s="16" t="s">
        <v>115</v>
      </c>
      <c r="H2" s="16" t="s">
        <v>115</v>
      </c>
      <c r="I2" s="16"/>
      <c r="J2" s="16"/>
      <c r="K2" s="16"/>
      <c r="L2" s="7">
        <v>12000</v>
      </c>
      <c r="M2" s="28">
        <v>2023</v>
      </c>
      <c r="N2" s="15" t="s">
        <v>238</v>
      </c>
    </row>
    <row r="3" spans="1:14" x14ac:dyDescent="0.3">
      <c r="A3" s="4" t="s">
        <v>89</v>
      </c>
      <c r="B3" s="15" t="s">
        <v>243</v>
      </c>
      <c r="C3" s="15" t="s">
        <v>16</v>
      </c>
      <c r="D3" s="15" t="s">
        <v>138</v>
      </c>
      <c r="E3" s="15">
        <f t="shared" si="0"/>
        <v>2</v>
      </c>
      <c r="F3" s="15">
        <v>2</v>
      </c>
      <c r="G3" s="16" t="s">
        <v>115</v>
      </c>
      <c r="H3" s="16"/>
      <c r="I3" s="16"/>
      <c r="J3" s="16"/>
      <c r="K3" s="16"/>
      <c r="L3" s="7">
        <v>12000</v>
      </c>
      <c r="M3" s="28">
        <v>2023</v>
      </c>
      <c r="N3" s="15" t="s">
        <v>238</v>
      </c>
    </row>
    <row r="4" spans="1:14" x14ac:dyDescent="0.3">
      <c r="A4" s="4" t="s">
        <v>133</v>
      </c>
      <c r="B4" s="15" t="s">
        <v>21</v>
      </c>
      <c r="C4" s="15" t="s">
        <v>21</v>
      </c>
      <c r="D4" s="15" t="s">
        <v>139</v>
      </c>
      <c r="E4" s="15">
        <f t="shared" si="0"/>
        <v>4</v>
      </c>
      <c r="F4" s="15">
        <v>4</v>
      </c>
      <c r="G4" s="16" t="s">
        <v>115</v>
      </c>
      <c r="H4" s="16"/>
      <c r="I4" s="16"/>
      <c r="J4" s="16"/>
      <c r="K4" s="16"/>
      <c r="L4" s="7">
        <v>20000</v>
      </c>
      <c r="M4" s="28">
        <v>2023</v>
      </c>
      <c r="N4" s="15" t="s">
        <v>238</v>
      </c>
    </row>
    <row r="5" spans="1:14" x14ac:dyDescent="0.3">
      <c r="A5" s="4" t="s">
        <v>135</v>
      </c>
      <c r="B5" s="15" t="s">
        <v>21</v>
      </c>
      <c r="C5" s="15" t="s">
        <v>21</v>
      </c>
      <c r="D5" s="15" t="s">
        <v>139</v>
      </c>
      <c r="E5" s="15">
        <f t="shared" si="0"/>
        <v>4</v>
      </c>
      <c r="F5" s="15">
        <v>4</v>
      </c>
      <c r="G5" s="16" t="s">
        <v>115</v>
      </c>
      <c r="H5" s="16"/>
      <c r="I5" s="16"/>
      <c r="J5" s="16" t="s">
        <v>115</v>
      </c>
      <c r="K5" s="16"/>
      <c r="L5" s="7">
        <v>25000</v>
      </c>
      <c r="M5" s="28">
        <v>2023</v>
      </c>
      <c r="N5" s="15" t="s">
        <v>238</v>
      </c>
    </row>
    <row r="6" spans="1:14" ht="28.8" x14ac:dyDescent="0.3">
      <c r="A6" s="4" t="s">
        <v>193</v>
      </c>
      <c r="B6" s="15" t="s">
        <v>15</v>
      </c>
      <c r="C6" s="15" t="s">
        <v>15</v>
      </c>
      <c r="D6" s="15" t="s">
        <v>140</v>
      </c>
      <c r="E6" s="15">
        <f t="shared" si="0"/>
        <v>1</v>
      </c>
      <c r="F6" s="15">
        <v>1</v>
      </c>
      <c r="G6" s="16"/>
      <c r="H6" s="16" t="s">
        <v>115</v>
      </c>
      <c r="I6" s="16"/>
      <c r="J6" s="16"/>
      <c r="K6" s="16"/>
      <c r="L6" s="7">
        <v>7000</v>
      </c>
      <c r="M6" s="28" t="s">
        <v>224</v>
      </c>
      <c r="N6" s="15" t="s">
        <v>238</v>
      </c>
    </row>
    <row r="7" spans="1:14" x14ac:dyDescent="0.3">
      <c r="A7" s="4" t="s">
        <v>79</v>
      </c>
      <c r="B7" s="15" t="s">
        <v>243</v>
      </c>
      <c r="C7" s="15" t="s">
        <v>19</v>
      </c>
      <c r="D7" s="15" t="s">
        <v>139</v>
      </c>
      <c r="E7" s="15">
        <f t="shared" si="0"/>
        <v>4</v>
      </c>
      <c r="F7" s="15">
        <v>1</v>
      </c>
      <c r="G7" s="16" t="s">
        <v>115</v>
      </c>
      <c r="H7" s="16"/>
      <c r="I7" s="16"/>
      <c r="J7" s="16"/>
      <c r="K7" s="16" t="s">
        <v>115</v>
      </c>
      <c r="L7" s="7">
        <v>80000</v>
      </c>
      <c r="M7" s="28" t="s">
        <v>179</v>
      </c>
      <c r="N7" s="15" t="s">
        <v>238</v>
      </c>
    </row>
    <row r="8" spans="1:14" ht="28.8" x14ac:dyDescent="0.3">
      <c r="A8" s="4" t="s">
        <v>223</v>
      </c>
      <c r="B8" s="15" t="s">
        <v>110</v>
      </c>
      <c r="C8" s="15" t="s">
        <v>13</v>
      </c>
      <c r="D8" s="15" t="s">
        <v>138</v>
      </c>
      <c r="E8" s="15">
        <f t="shared" si="0"/>
        <v>2</v>
      </c>
      <c r="F8" s="15">
        <v>0</v>
      </c>
      <c r="G8" s="16" t="s">
        <v>115</v>
      </c>
      <c r="H8" s="16"/>
      <c r="I8" s="16" t="s">
        <v>115</v>
      </c>
      <c r="J8" s="16"/>
      <c r="K8" s="16" t="s">
        <v>115</v>
      </c>
      <c r="L8" s="7">
        <v>5000</v>
      </c>
      <c r="M8" s="28" t="s">
        <v>224</v>
      </c>
      <c r="N8" s="15" t="s">
        <v>238</v>
      </c>
    </row>
    <row r="9" spans="1:14" ht="28.8" x14ac:dyDescent="0.3">
      <c r="A9" s="4" t="s">
        <v>151</v>
      </c>
      <c r="B9" s="15" t="s">
        <v>15</v>
      </c>
      <c r="C9" s="15" t="s">
        <v>15</v>
      </c>
      <c r="D9" s="15" t="s">
        <v>139</v>
      </c>
      <c r="E9" s="15">
        <f>IF(D9="S",1,IF(D9="M",2,IF(D9="L",4,0)))</f>
        <v>4</v>
      </c>
      <c r="F9" s="15">
        <v>4</v>
      </c>
      <c r="G9" s="16" t="s">
        <v>115</v>
      </c>
      <c r="H9" s="16" t="s">
        <v>115</v>
      </c>
      <c r="I9" s="16"/>
      <c r="J9" s="16" t="s">
        <v>115</v>
      </c>
      <c r="K9" s="16"/>
      <c r="L9" s="7">
        <v>16000</v>
      </c>
      <c r="M9" s="28" t="s">
        <v>224</v>
      </c>
      <c r="N9" s="15" t="s">
        <v>238</v>
      </c>
    </row>
    <row r="10" spans="1:14" ht="28.8" x14ac:dyDescent="0.3">
      <c r="A10" s="4" t="s">
        <v>172</v>
      </c>
      <c r="B10" s="15" t="s">
        <v>243</v>
      </c>
      <c r="C10" s="15" t="s">
        <v>97</v>
      </c>
      <c r="D10" s="15" t="s">
        <v>140</v>
      </c>
      <c r="E10" s="15">
        <f t="shared" si="0"/>
        <v>1</v>
      </c>
      <c r="F10" s="15">
        <v>0</v>
      </c>
      <c r="G10" s="16"/>
      <c r="H10" s="16"/>
      <c r="I10" s="16" t="s">
        <v>115</v>
      </c>
      <c r="J10" s="16"/>
      <c r="K10" s="16"/>
      <c r="L10" s="27">
        <v>0</v>
      </c>
      <c r="M10" s="28" t="s">
        <v>179</v>
      </c>
      <c r="N10" s="15" t="s">
        <v>238</v>
      </c>
    </row>
    <row r="11" spans="1:14" ht="28.8" x14ac:dyDescent="0.3">
      <c r="A11" s="4" t="s">
        <v>215</v>
      </c>
      <c r="B11" s="15" t="s">
        <v>243</v>
      </c>
      <c r="C11" s="15" t="s">
        <v>19</v>
      </c>
      <c r="D11" s="15" t="s">
        <v>139</v>
      </c>
      <c r="E11" s="15">
        <f t="shared" si="0"/>
        <v>4</v>
      </c>
      <c r="F11" s="15">
        <v>4</v>
      </c>
      <c r="G11" s="16" t="s">
        <v>115</v>
      </c>
      <c r="H11" s="16"/>
      <c r="I11" s="16"/>
      <c r="J11" s="16"/>
      <c r="K11" s="16"/>
      <c r="L11" s="7">
        <v>16000</v>
      </c>
      <c r="M11" s="28" t="s">
        <v>224</v>
      </c>
      <c r="N11" s="15" t="s">
        <v>238</v>
      </c>
    </row>
    <row r="12" spans="1:14" x14ac:dyDescent="0.3">
      <c r="A12" s="4" t="s">
        <v>98</v>
      </c>
      <c r="B12" s="15" t="s">
        <v>14</v>
      </c>
      <c r="C12" s="15" t="s">
        <v>14</v>
      </c>
      <c r="D12" s="15" t="s">
        <v>139</v>
      </c>
      <c r="E12" s="15">
        <f t="shared" si="0"/>
        <v>4</v>
      </c>
      <c r="F12" s="15">
        <v>4</v>
      </c>
      <c r="G12" s="16"/>
      <c r="H12" s="16"/>
      <c r="I12" s="16"/>
      <c r="J12" s="16"/>
      <c r="K12" s="16" t="s">
        <v>115</v>
      </c>
      <c r="L12" s="7">
        <v>20000</v>
      </c>
      <c r="M12" s="28" t="s">
        <v>179</v>
      </c>
      <c r="N12" s="15" t="s">
        <v>238</v>
      </c>
    </row>
    <row r="13" spans="1:14" ht="28.8" x14ac:dyDescent="0.3">
      <c r="A13" s="4" t="s">
        <v>145</v>
      </c>
      <c r="B13" s="15" t="s">
        <v>243</v>
      </c>
      <c r="C13" s="15" t="s">
        <v>19</v>
      </c>
      <c r="D13" s="15" t="s">
        <v>139</v>
      </c>
      <c r="E13" s="15">
        <f t="shared" si="0"/>
        <v>4</v>
      </c>
      <c r="F13" s="15">
        <v>4</v>
      </c>
      <c r="G13" s="16" t="s">
        <v>115</v>
      </c>
      <c r="H13" s="16"/>
      <c r="I13" s="16"/>
      <c r="J13" s="16" t="s">
        <v>115</v>
      </c>
      <c r="K13" s="16"/>
      <c r="L13" s="7">
        <v>22500</v>
      </c>
      <c r="M13" s="28">
        <v>2023</v>
      </c>
      <c r="N13" s="15" t="s">
        <v>238</v>
      </c>
    </row>
    <row r="14" spans="1:14" ht="28.8" x14ac:dyDescent="0.3">
      <c r="A14" s="4" t="s">
        <v>147</v>
      </c>
      <c r="B14" s="15" t="s">
        <v>243</v>
      </c>
      <c r="C14" s="15" t="s">
        <v>19</v>
      </c>
      <c r="D14" s="15" t="s">
        <v>138</v>
      </c>
      <c r="E14" s="15">
        <f t="shared" si="0"/>
        <v>2</v>
      </c>
      <c r="F14" s="15">
        <v>1</v>
      </c>
      <c r="G14" s="16" t="s">
        <v>115</v>
      </c>
      <c r="H14" s="16"/>
      <c r="I14" s="16"/>
      <c r="J14" s="16"/>
      <c r="K14" s="16"/>
      <c r="L14" s="7">
        <v>20000</v>
      </c>
      <c r="M14" s="28">
        <v>2023</v>
      </c>
      <c r="N14" s="15" t="s">
        <v>238</v>
      </c>
    </row>
    <row r="15" spans="1:14" x14ac:dyDescent="0.3">
      <c r="A15" s="4" t="s">
        <v>136</v>
      </c>
      <c r="B15" s="15" t="s">
        <v>243</v>
      </c>
      <c r="C15" s="15" t="s">
        <v>16</v>
      </c>
      <c r="D15" s="15" t="s">
        <v>138</v>
      </c>
      <c r="E15" s="15">
        <f t="shared" si="0"/>
        <v>2</v>
      </c>
      <c r="F15" s="15">
        <v>2</v>
      </c>
      <c r="G15" s="16" t="s">
        <v>115</v>
      </c>
      <c r="H15" s="16"/>
      <c r="I15" s="16"/>
      <c r="J15" s="16"/>
      <c r="K15" s="16" t="s">
        <v>115</v>
      </c>
      <c r="L15" s="7">
        <v>9000</v>
      </c>
      <c r="M15" s="28">
        <v>2023</v>
      </c>
      <c r="N15" s="15" t="s">
        <v>238</v>
      </c>
    </row>
    <row r="16" spans="1:14" x14ac:dyDescent="0.3">
      <c r="A16" s="4" t="s">
        <v>43</v>
      </c>
      <c r="B16" s="15" t="s">
        <v>15</v>
      </c>
      <c r="C16" s="15" t="s">
        <v>15</v>
      </c>
      <c r="D16" s="15" t="s">
        <v>138</v>
      </c>
      <c r="E16" s="15">
        <f t="shared" si="0"/>
        <v>2</v>
      </c>
      <c r="F16" s="15">
        <v>2</v>
      </c>
      <c r="G16" s="16" t="s">
        <v>115</v>
      </c>
      <c r="H16" s="16" t="s">
        <v>115</v>
      </c>
      <c r="I16" s="16"/>
      <c r="J16" s="16"/>
      <c r="K16" s="16"/>
      <c r="L16" s="7">
        <v>13000</v>
      </c>
      <c r="M16" s="28">
        <v>2023</v>
      </c>
      <c r="N16" s="15" t="s">
        <v>238</v>
      </c>
    </row>
    <row r="17" spans="1:14" ht="28.8" x14ac:dyDescent="0.3">
      <c r="A17" s="4" t="s">
        <v>91</v>
      </c>
      <c r="B17" s="15" t="s">
        <v>15</v>
      </c>
      <c r="C17" s="15" t="s">
        <v>15</v>
      </c>
      <c r="D17" s="15" t="s">
        <v>138</v>
      </c>
      <c r="E17" s="15">
        <f t="shared" si="0"/>
        <v>2</v>
      </c>
      <c r="F17" s="15">
        <v>2</v>
      </c>
      <c r="G17" s="16" t="s">
        <v>115</v>
      </c>
      <c r="H17" s="16" t="s">
        <v>115</v>
      </c>
      <c r="I17" s="16"/>
      <c r="J17" s="16"/>
      <c r="K17" s="16"/>
      <c r="L17" s="7">
        <v>13000</v>
      </c>
      <c r="M17" s="28">
        <v>2023</v>
      </c>
      <c r="N17" s="15" t="s">
        <v>238</v>
      </c>
    </row>
    <row r="18" spans="1:14" ht="28.8" x14ac:dyDescent="0.3">
      <c r="A18" s="4" t="s">
        <v>171</v>
      </c>
      <c r="B18" s="15" t="s">
        <v>15</v>
      </c>
      <c r="C18" s="15" t="s">
        <v>15</v>
      </c>
      <c r="D18" s="15" t="s">
        <v>138</v>
      </c>
      <c r="E18" s="15">
        <f t="shared" si="0"/>
        <v>2</v>
      </c>
      <c r="F18" s="15">
        <v>2</v>
      </c>
      <c r="G18" s="16" t="s">
        <v>115</v>
      </c>
      <c r="H18" s="16"/>
      <c r="I18" s="16"/>
      <c r="J18" s="16"/>
      <c r="K18" s="16"/>
      <c r="L18" s="7">
        <v>5000</v>
      </c>
      <c r="M18" s="28" t="s">
        <v>224</v>
      </c>
      <c r="N18" s="15" t="s">
        <v>238</v>
      </c>
    </row>
    <row r="19" spans="1:14" ht="28.8" x14ac:dyDescent="0.3">
      <c r="A19" s="4" t="s">
        <v>132</v>
      </c>
      <c r="B19" s="15" t="s">
        <v>110</v>
      </c>
      <c r="C19" s="15" t="s">
        <v>174</v>
      </c>
      <c r="D19" s="15" t="s">
        <v>138</v>
      </c>
      <c r="E19" s="15">
        <f t="shared" si="0"/>
        <v>2</v>
      </c>
      <c r="F19" s="15">
        <v>2</v>
      </c>
      <c r="G19" s="16" t="s">
        <v>115</v>
      </c>
      <c r="H19" s="16"/>
      <c r="I19" s="16" t="s">
        <v>115</v>
      </c>
      <c r="J19" s="16"/>
      <c r="K19" s="16"/>
      <c r="L19" s="7">
        <v>18000</v>
      </c>
      <c r="M19" s="28" t="s">
        <v>224</v>
      </c>
      <c r="N19" s="15" t="s">
        <v>238</v>
      </c>
    </row>
    <row r="20" spans="1:14" ht="28.8" x14ac:dyDescent="0.3">
      <c r="A20" s="4" t="s">
        <v>173</v>
      </c>
      <c r="B20" s="15" t="s">
        <v>110</v>
      </c>
      <c r="C20" s="15" t="s">
        <v>13</v>
      </c>
      <c r="D20" s="15" t="s">
        <v>140</v>
      </c>
      <c r="E20" s="15">
        <f t="shared" si="0"/>
        <v>1</v>
      </c>
      <c r="F20" s="15">
        <v>0</v>
      </c>
      <c r="G20" s="16"/>
      <c r="H20" s="16"/>
      <c r="I20" s="16" t="s">
        <v>115</v>
      </c>
      <c r="J20" s="16"/>
      <c r="K20" s="16"/>
      <c r="L20" s="7">
        <v>4000</v>
      </c>
      <c r="M20" s="28">
        <v>2023</v>
      </c>
      <c r="N20" s="15" t="s">
        <v>238</v>
      </c>
    </row>
    <row r="21" spans="1:14" x14ac:dyDescent="0.3">
      <c r="A21" s="4" t="s">
        <v>234</v>
      </c>
      <c r="B21" s="15" t="s">
        <v>243</v>
      </c>
      <c r="C21" s="15" t="s">
        <v>97</v>
      </c>
      <c r="D21" s="15" t="s">
        <v>138</v>
      </c>
      <c r="E21" s="15">
        <f>IF(D21="S",1,IF(D21="M",2,IF(D21="L",4,0)))</f>
        <v>2</v>
      </c>
      <c r="F21" s="15">
        <v>2</v>
      </c>
      <c r="G21" s="16" t="s">
        <v>115</v>
      </c>
      <c r="H21" s="16" t="s">
        <v>115</v>
      </c>
      <c r="I21" s="16" t="s">
        <v>115</v>
      </c>
      <c r="J21" s="16" t="s">
        <v>115</v>
      </c>
      <c r="K21" s="16"/>
      <c r="L21" s="7">
        <v>5000</v>
      </c>
      <c r="M21" s="28">
        <v>2023</v>
      </c>
      <c r="N21" s="15" t="s">
        <v>238</v>
      </c>
    </row>
    <row r="22" spans="1:14" ht="28.8" x14ac:dyDescent="0.3">
      <c r="A22" s="4" t="s">
        <v>186</v>
      </c>
      <c r="B22" s="15" t="s">
        <v>110</v>
      </c>
      <c r="C22" s="15" t="s">
        <v>13</v>
      </c>
      <c r="D22" s="15" t="s">
        <v>138</v>
      </c>
      <c r="E22" s="15">
        <f t="shared" si="0"/>
        <v>2</v>
      </c>
      <c r="F22" s="15">
        <v>2</v>
      </c>
      <c r="G22" s="16" t="s">
        <v>115</v>
      </c>
      <c r="H22" s="16"/>
      <c r="I22" s="16"/>
      <c r="J22" s="16"/>
      <c r="K22" s="16"/>
      <c r="L22" s="7">
        <v>5000</v>
      </c>
      <c r="M22" s="28" t="s">
        <v>224</v>
      </c>
      <c r="N22" s="15" t="s">
        <v>239</v>
      </c>
    </row>
    <row r="23" spans="1:14" ht="28.8" x14ac:dyDescent="0.3">
      <c r="A23" s="4" t="s">
        <v>231</v>
      </c>
      <c r="B23" s="15" t="s">
        <v>15</v>
      </c>
      <c r="C23" s="15" t="s">
        <v>15</v>
      </c>
      <c r="D23" s="15" t="s">
        <v>140</v>
      </c>
      <c r="E23" s="15">
        <f t="shared" si="0"/>
        <v>1</v>
      </c>
      <c r="F23" s="15">
        <v>1</v>
      </c>
      <c r="G23" s="16"/>
      <c r="H23" s="16" t="s">
        <v>115</v>
      </c>
      <c r="I23" s="16"/>
      <c r="J23" s="16"/>
      <c r="K23" s="16"/>
      <c r="L23" s="7">
        <v>3000</v>
      </c>
      <c r="M23" s="28" t="s">
        <v>179</v>
      </c>
      <c r="N23" s="15" t="s">
        <v>238</v>
      </c>
    </row>
    <row r="24" spans="1:14" x14ac:dyDescent="0.3">
      <c r="A24" s="4" t="s">
        <v>77</v>
      </c>
      <c r="B24" s="15" t="s">
        <v>15</v>
      </c>
      <c r="C24" s="15" t="s">
        <v>15</v>
      </c>
      <c r="D24" s="15" t="s">
        <v>138</v>
      </c>
      <c r="E24" s="15">
        <f t="shared" si="0"/>
        <v>2</v>
      </c>
      <c r="F24" s="15">
        <v>2</v>
      </c>
      <c r="G24" s="16"/>
      <c r="H24" s="16" t="s">
        <v>115</v>
      </c>
      <c r="I24" s="16"/>
      <c r="J24" s="16"/>
      <c r="K24" s="16"/>
      <c r="L24" s="7">
        <v>10000</v>
      </c>
      <c r="M24" s="28" t="s">
        <v>179</v>
      </c>
      <c r="N24" s="15" t="s">
        <v>238</v>
      </c>
    </row>
    <row r="25" spans="1:14" x14ac:dyDescent="0.3">
      <c r="A25" s="4" t="s">
        <v>230</v>
      </c>
      <c r="B25" s="15" t="s">
        <v>243</v>
      </c>
      <c r="C25" s="15" t="s">
        <v>19</v>
      </c>
      <c r="D25" s="15" t="s">
        <v>140</v>
      </c>
      <c r="E25" s="15">
        <f t="shared" si="0"/>
        <v>1</v>
      </c>
      <c r="F25" s="15">
        <v>1</v>
      </c>
      <c r="G25" s="16" t="s">
        <v>115</v>
      </c>
      <c r="H25" s="16"/>
      <c r="I25" s="16"/>
      <c r="J25" s="16"/>
      <c r="K25" s="16"/>
      <c r="L25" s="7">
        <v>5000</v>
      </c>
      <c r="M25" s="28">
        <v>2023</v>
      </c>
      <c r="N25" s="15" t="s">
        <v>238</v>
      </c>
    </row>
    <row r="26" spans="1:14" x14ac:dyDescent="0.3">
      <c r="A26" s="4" t="s">
        <v>233</v>
      </c>
      <c r="B26" s="15" t="s">
        <v>15</v>
      </c>
      <c r="C26" s="15" t="s">
        <v>15</v>
      </c>
      <c r="D26" s="15" t="s">
        <v>138</v>
      </c>
      <c r="E26" s="15">
        <f t="shared" si="0"/>
        <v>2</v>
      </c>
      <c r="F26" s="15">
        <v>2</v>
      </c>
      <c r="G26" s="16" t="s">
        <v>115</v>
      </c>
      <c r="H26" s="16" t="s">
        <v>115</v>
      </c>
      <c r="I26" s="16"/>
      <c r="J26" s="16"/>
      <c r="K26" s="16"/>
      <c r="L26" s="7">
        <v>10000</v>
      </c>
      <c r="M26" s="28" t="s">
        <v>179</v>
      </c>
      <c r="N26" s="15" t="s">
        <v>238</v>
      </c>
    </row>
    <row r="27" spans="1:14" x14ac:dyDescent="0.3">
      <c r="A27" s="4" t="s">
        <v>131</v>
      </c>
      <c r="B27" s="15" t="s">
        <v>110</v>
      </c>
      <c r="C27" s="15" t="s">
        <v>13</v>
      </c>
      <c r="D27" s="15" t="s">
        <v>138</v>
      </c>
      <c r="E27" s="15">
        <f t="shared" si="0"/>
        <v>2</v>
      </c>
      <c r="F27" s="15">
        <v>1</v>
      </c>
      <c r="G27" s="16" t="s">
        <v>115</v>
      </c>
      <c r="H27" s="16"/>
      <c r="I27" s="16" t="s">
        <v>115</v>
      </c>
      <c r="J27" s="16"/>
      <c r="K27" s="16"/>
      <c r="L27" s="7">
        <v>20000</v>
      </c>
      <c r="M27" s="28">
        <v>2023</v>
      </c>
      <c r="N27" s="15" t="s">
        <v>238</v>
      </c>
    </row>
    <row r="28" spans="1:14" x14ac:dyDescent="0.3">
      <c r="A28" s="4" t="s">
        <v>29</v>
      </c>
      <c r="B28" s="15" t="s">
        <v>110</v>
      </c>
      <c r="C28" s="15" t="s">
        <v>13</v>
      </c>
      <c r="D28" s="15" t="s">
        <v>138</v>
      </c>
      <c r="E28" s="15">
        <f t="shared" si="0"/>
        <v>2</v>
      </c>
      <c r="F28" s="15">
        <v>2</v>
      </c>
      <c r="G28" s="16"/>
      <c r="H28" s="16"/>
      <c r="I28" s="16" t="s">
        <v>115</v>
      </c>
      <c r="J28" s="16"/>
      <c r="K28" s="16"/>
      <c r="L28" s="7">
        <f>3800*4</f>
        <v>15200</v>
      </c>
      <c r="M28" s="28" t="s">
        <v>179</v>
      </c>
      <c r="N28" s="15" t="s">
        <v>239</v>
      </c>
    </row>
    <row r="29" spans="1:14" ht="28.8" x14ac:dyDescent="0.3">
      <c r="A29" s="4" t="s">
        <v>187</v>
      </c>
      <c r="B29" s="15" t="s">
        <v>110</v>
      </c>
      <c r="C29" s="15" t="s">
        <v>13</v>
      </c>
      <c r="D29" s="15" t="s">
        <v>138</v>
      </c>
      <c r="E29" s="15">
        <f t="shared" si="0"/>
        <v>2</v>
      </c>
      <c r="F29" s="15">
        <v>2</v>
      </c>
      <c r="G29" s="16" t="s">
        <v>115</v>
      </c>
      <c r="H29" s="16"/>
      <c r="I29" s="16" t="s">
        <v>115</v>
      </c>
      <c r="J29" s="16"/>
      <c r="K29" s="16"/>
      <c r="L29" s="7">
        <v>10000</v>
      </c>
      <c r="M29" s="28" t="s">
        <v>224</v>
      </c>
      <c r="N29" s="15" t="s">
        <v>239</v>
      </c>
    </row>
    <row r="30" spans="1:14" ht="28.8" x14ac:dyDescent="0.3">
      <c r="A30" s="4" t="s">
        <v>188</v>
      </c>
      <c r="B30" s="15" t="s">
        <v>110</v>
      </c>
      <c r="C30" s="15" t="s">
        <v>174</v>
      </c>
      <c r="D30" s="15" t="s">
        <v>138</v>
      </c>
      <c r="E30" s="15">
        <f t="shared" si="0"/>
        <v>2</v>
      </c>
      <c r="F30" s="15">
        <v>1</v>
      </c>
      <c r="G30" s="16"/>
      <c r="H30" s="16"/>
      <c r="I30" s="16" t="s">
        <v>115</v>
      </c>
      <c r="J30" s="16"/>
      <c r="K30" s="16"/>
      <c r="L30" s="7">
        <f>2500*4</f>
        <v>10000</v>
      </c>
      <c r="M30" s="28" t="s">
        <v>224</v>
      </c>
      <c r="N30" s="15" t="s">
        <v>239</v>
      </c>
    </row>
    <row r="31" spans="1:14" ht="28.8" x14ac:dyDescent="0.3">
      <c r="A31" s="4" t="s">
        <v>146</v>
      </c>
      <c r="B31" s="15" t="s">
        <v>14</v>
      </c>
      <c r="C31" s="15" t="s">
        <v>14</v>
      </c>
      <c r="D31" s="15" t="s">
        <v>139</v>
      </c>
      <c r="E31" s="15">
        <f t="shared" si="0"/>
        <v>4</v>
      </c>
      <c r="F31" s="15">
        <v>4</v>
      </c>
      <c r="G31" s="16" t="s">
        <v>115</v>
      </c>
      <c r="H31" s="16"/>
      <c r="I31" s="16"/>
      <c r="J31" s="16" t="s">
        <v>115</v>
      </c>
      <c r="K31" s="16"/>
      <c r="L31" s="7">
        <v>22500</v>
      </c>
      <c r="M31" s="28">
        <v>2023</v>
      </c>
      <c r="N31" s="15" t="s">
        <v>238</v>
      </c>
    </row>
    <row r="32" spans="1:14" ht="28.8" x14ac:dyDescent="0.3">
      <c r="A32" s="4" t="s">
        <v>123</v>
      </c>
      <c r="B32" s="15" t="s">
        <v>243</v>
      </c>
      <c r="C32" s="15" t="s">
        <v>16</v>
      </c>
      <c r="D32" s="15" t="s">
        <v>138</v>
      </c>
      <c r="E32" s="15">
        <f t="shared" si="0"/>
        <v>2</v>
      </c>
      <c r="F32" s="15">
        <v>0</v>
      </c>
      <c r="G32" s="16"/>
      <c r="H32" s="16" t="s">
        <v>115</v>
      </c>
      <c r="I32" s="16"/>
      <c r="J32" s="16"/>
      <c r="K32" s="16"/>
      <c r="L32" s="7">
        <v>12000</v>
      </c>
      <c r="M32" s="28" t="s">
        <v>224</v>
      </c>
      <c r="N32" s="15" t="s">
        <v>238</v>
      </c>
    </row>
    <row r="33" spans="1:14" x14ac:dyDescent="0.3">
      <c r="A33" s="4" t="s">
        <v>71</v>
      </c>
      <c r="B33" s="15" t="s">
        <v>15</v>
      </c>
      <c r="C33" s="15" t="s">
        <v>15</v>
      </c>
      <c r="D33" s="15" t="s">
        <v>138</v>
      </c>
      <c r="E33" s="15">
        <f t="shared" si="0"/>
        <v>2</v>
      </c>
      <c r="F33" s="15">
        <v>2</v>
      </c>
      <c r="G33" s="16" t="s">
        <v>115</v>
      </c>
      <c r="H33" s="16" t="s">
        <v>115</v>
      </c>
      <c r="I33" s="16"/>
      <c r="J33" s="16"/>
      <c r="K33" s="16"/>
      <c r="L33" s="7">
        <v>10000</v>
      </c>
      <c r="M33" s="28">
        <v>2023</v>
      </c>
      <c r="N33" s="15" t="s">
        <v>238</v>
      </c>
    </row>
    <row r="34" spans="1:14" x14ac:dyDescent="0.3">
      <c r="A34" s="4" t="s">
        <v>118</v>
      </c>
      <c r="B34" s="15" t="s">
        <v>15</v>
      </c>
      <c r="C34" s="15" t="s">
        <v>15</v>
      </c>
      <c r="D34" s="15" t="s">
        <v>138</v>
      </c>
      <c r="E34" s="15">
        <f t="shared" si="0"/>
        <v>2</v>
      </c>
      <c r="F34" s="15">
        <v>2</v>
      </c>
      <c r="G34" s="16" t="s">
        <v>115</v>
      </c>
      <c r="H34" s="16" t="s">
        <v>115</v>
      </c>
      <c r="I34" s="16"/>
      <c r="J34" s="16"/>
      <c r="K34" s="16"/>
      <c r="L34" s="7">
        <v>8000</v>
      </c>
      <c r="M34" s="28" t="s">
        <v>179</v>
      </c>
      <c r="N34" s="15" t="s">
        <v>238</v>
      </c>
    </row>
    <row r="35" spans="1:14" x14ac:dyDescent="0.3">
      <c r="A35" s="4" t="s">
        <v>22</v>
      </c>
      <c r="B35" s="15" t="s">
        <v>243</v>
      </c>
      <c r="C35" s="15" t="s">
        <v>16</v>
      </c>
      <c r="D35" s="15" t="s">
        <v>138</v>
      </c>
      <c r="E35" s="15">
        <f t="shared" si="0"/>
        <v>2</v>
      </c>
      <c r="F35" s="15">
        <v>2</v>
      </c>
      <c r="G35" s="16" t="s">
        <v>115</v>
      </c>
      <c r="H35" s="16"/>
      <c r="I35" s="16"/>
      <c r="J35" s="16"/>
      <c r="K35" s="16"/>
      <c r="L35" s="7">
        <v>12000</v>
      </c>
      <c r="M35" s="28" t="s">
        <v>179</v>
      </c>
      <c r="N35" s="15" t="s">
        <v>238</v>
      </c>
    </row>
    <row r="36" spans="1:14" x14ac:dyDescent="0.3">
      <c r="A36" s="4" t="s">
        <v>175</v>
      </c>
      <c r="B36" s="15" t="s">
        <v>110</v>
      </c>
      <c r="C36" s="15" t="s">
        <v>174</v>
      </c>
      <c r="D36" s="15" t="s">
        <v>138</v>
      </c>
      <c r="E36" s="15">
        <f t="shared" si="0"/>
        <v>2</v>
      </c>
      <c r="F36" s="15">
        <v>0</v>
      </c>
      <c r="G36" s="16"/>
      <c r="H36" s="16"/>
      <c r="I36" s="16" t="s">
        <v>115</v>
      </c>
      <c r="J36" s="16"/>
      <c r="K36" s="16"/>
      <c r="L36" s="7">
        <v>5000</v>
      </c>
      <c r="M36" s="28">
        <v>2023</v>
      </c>
      <c r="N36" s="15" t="s">
        <v>238</v>
      </c>
    </row>
    <row r="37" spans="1:14" x14ac:dyDescent="0.3">
      <c r="A37" s="4" t="s">
        <v>95</v>
      </c>
      <c r="B37" s="15" t="s">
        <v>14</v>
      </c>
      <c r="C37" s="15" t="s">
        <v>14</v>
      </c>
      <c r="D37" s="15" t="s">
        <v>138</v>
      </c>
      <c r="E37" s="15">
        <f t="shared" si="0"/>
        <v>2</v>
      </c>
      <c r="F37" s="15">
        <v>2</v>
      </c>
      <c r="G37" s="16" t="s">
        <v>115</v>
      </c>
      <c r="H37" s="16"/>
      <c r="I37" s="16"/>
      <c r="J37" s="16"/>
      <c r="K37" s="16"/>
      <c r="L37" s="7">
        <v>5000</v>
      </c>
      <c r="M37" s="28" t="s">
        <v>179</v>
      </c>
      <c r="N37" s="15" t="s">
        <v>238</v>
      </c>
    </row>
    <row r="38" spans="1:14" x14ac:dyDescent="0.3">
      <c r="A38" s="4" t="s">
        <v>74</v>
      </c>
      <c r="B38" s="15" t="s">
        <v>15</v>
      </c>
      <c r="C38" s="15" t="s">
        <v>15</v>
      </c>
      <c r="D38" s="15" t="s">
        <v>138</v>
      </c>
      <c r="E38" s="15">
        <f t="shared" si="0"/>
        <v>2</v>
      </c>
      <c r="F38" s="15">
        <v>2</v>
      </c>
      <c r="G38" s="16"/>
      <c r="H38" s="16" t="s">
        <v>115</v>
      </c>
      <c r="I38" s="16"/>
      <c r="J38" s="16"/>
      <c r="K38" s="16"/>
      <c r="L38" s="7">
        <v>5000</v>
      </c>
      <c r="M38" s="28" t="s">
        <v>179</v>
      </c>
      <c r="N38" s="15" t="s">
        <v>238</v>
      </c>
    </row>
    <row r="39" spans="1:14" x14ac:dyDescent="0.3">
      <c r="A39" s="4" t="s">
        <v>236</v>
      </c>
      <c r="B39" s="15" t="s">
        <v>243</v>
      </c>
      <c r="C39" s="15" t="s">
        <v>19</v>
      </c>
      <c r="D39" s="15" t="s">
        <v>139</v>
      </c>
      <c r="E39" s="15">
        <f t="shared" si="0"/>
        <v>4</v>
      </c>
      <c r="F39" s="15">
        <v>4</v>
      </c>
      <c r="G39" s="16" t="s">
        <v>115</v>
      </c>
      <c r="H39" s="16"/>
      <c r="I39" s="16"/>
      <c r="J39" s="16"/>
      <c r="K39" s="16" t="s">
        <v>115</v>
      </c>
      <c r="L39" s="7">
        <v>15000</v>
      </c>
      <c r="M39" s="28" t="s">
        <v>179</v>
      </c>
      <c r="N39" s="15" t="s">
        <v>238</v>
      </c>
    </row>
    <row r="40" spans="1:14" x14ac:dyDescent="0.3">
      <c r="A40" s="4" t="s">
        <v>92</v>
      </c>
      <c r="B40" s="15" t="s">
        <v>15</v>
      </c>
      <c r="C40" s="15" t="s">
        <v>15</v>
      </c>
      <c r="D40" s="15" t="s">
        <v>140</v>
      </c>
      <c r="E40" s="15">
        <f t="shared" si="0"/>
        <v>1</v>
      </c>
      <c r="F40" s="15">
        <v>1</v>
      </c>
      <c r="G40" s="16" t="s">
        <v>115</v>
      </c>
      <c r="H40" s="16"/>
      <c r="I40" s="16"/>
      <c r="J40" s="16"/>
      <c r="K40" s="16"/>
      <c r="L40" s="7">
        <v>10000</v>
      </c>
      <c r="M40" s="28">
        <v>2023</v>
      </c>
      <c r="N40" s="15" t="s">
        <v>238</v>
      </c>
    </row>
    <row r="41" spans="1:14" x14ac:dyDescent="0.3">
      <c r="A41" s="4" t="s">
        <v>81</v>
      </c>
      <c r="B41" s="15" t="s">
        <v>243</v>
      </c>
      <c r="C41" s="15" t="s">
        <v>19</v>
      </c>
      <c r="D41" s="15" t="s">
        <v>138</v>
      </c>
      <c r="E41" s="15">
        <f t="shared" si="0"/>
        <v>2</v>
      </c>
      <c r="F41" s="15">
        <v>2</v>
      </c>
      <c r="G41" s="16" t="s">
        <v>115</v>
      </c>
      <c r="H41" s="16"/>
      <c r="I41" s="16"/>
      <c r="J41" s="16"/>
      <c r="K41" s="16"/>
      <c r="L41" s="7">
        <v>15000</v>
      </c>
      <c r="M41" s="28" t="s">
        <v>179</v>
      </c>
      <c r="N41" s="15" t="s">
        <v>238</v>
      </c>
    </row>
    <row r="42" spans="1:14" x14ac:dyDescent="0.3">
      <c r="A42" s="4" t="s">
        <v>152</v>
      </c>
      <c r="B42" s="15" t="s">
        <v>14</v>
      </c>
      <c r="C42" s="15" t="s">
        <v>14</v>
      </c>
      <c r="D42" s="15" t="s">
        <v>139</v>
      </c>
      <c r="E42" s="15">
        <f t="shared" si="0"/>
        <v>4</v>
      </c>
      <c r="F42" s="15">
        <v>4</v>
      </c>
      <c r="G42" s="16" t="s">
        <v>115</v>
      </c>
      <c r="H42" s="16" t="s">
        <v>115</v>
      </c>
      <c r="I42" s="16"/>
      <c r="J42" s="16" t="s">
        <v>115</v>
      </c>
      <c r="K42" s="16"/>
      <c r="L42" s="7">
        <v>6000</v>
      </c>
      <c r="M42" s="28" t="s">
        <v>179</v>
      </c>
      <c r="N42" s="15" t="s">
        <v>238</v>
      </c>
    </row>
    <row r="43" spans="1:14" x14ac:dyDescent="0.3">
      <c r="A43" s="4" t="s">
        <v>99</v>
      </c>
      <c r="B43" s="15" t="s">
        <v>14</v>
      </c>
      <c r="C43" s="15" t="s">
        <v>14</v>
      </c>
      <c r="D43" s="15" t="s">
        <v>140</v>
      </c>
      <c r="E43" s="15">
        <f t="shared" si="0"/>
        <v>1</v>
      </c>
      <c r="F43" s="15">
        <v>1</v>
      </c>
      <c r="G43" s="16" t="s">
        <v>115</v>
      </c>
      <c r="H43" s="16"/>
      <c r="I43" s="16"/>
      <c r="J43" s="16"/>
      <c r="K43" s="16"/>
      <c r="L43" s="7">
        <v>8000</v>
      </c>
      <c r="M43" s="28" t="s">
        <v>179</v>
      </c>
      <c r="N43" s="15" t="s">
        <v>238</v>
      </c>
    </row>
    <row r="44" spans="1:14" x14ac:dyDescent="0.3">
      <c r="A44" s="4" t="s">
        <v>102</v>
      </c>
      <c r="B44" s="15" t="s">
        <v>14</v>
      </c>
      <c r="C44" s="15" t="s">
        <v>14</v>
      </c>
      <c r="D44" s="15" t="s">
        <v>139</v>
      </c>
      <c r="E44" s="15">
        <f t="shared" si="0"/>
        <v>4</v>
      </c>
      <c r="F44" s="15">
        <v>4</v>
      </c>
      <c r="G44" s="16" t="s">
        <v>115</v>
      </c>
      <c r="H44" s="16" t="s">
        <v>115</v>
      </c>
      <c r="I44" s="16"/>
      <c r="J44" s="16"/>
      <c r="K44" s="16" t="s">
        <v>115</v>
      </c>
      <c r="L44" s="7">
        <v>8000</v>
      </c>
      <c r="M44" s="28" t="s">
        <v>179</v>
      </c>
      <c r="N44" s="15" t="s">
        <v>238</v>
      </c>
    </row>
    <row r="45" spans="1:14" x14ac:dyDescent="0.3">
      <c r="A45" s="4" t="s">
        <v>177</v>
      </c>
      <c r="B45" s="15" t="s">
        <v>110</v>
      </c>
      <c r="C45" s="15" t="s">
        <v>36</v>
      </c>
      <c r="D45" s="15" t="s">
        <v>138</v>
      </c>
      <c r="E45" s="15">
        <f t="shared" si="0"/>
        <v>2</v>
      </c>
      <c r="F45" s="15">
        <v>2</v>
      </c>
      <c r="G45" s="16"/>
      <c r="H45" s="16"/>
      <c r="I45" s="16" t="s">
        <v>115</v>
      </c>
      <c r="J45" s="16"/>
      <c r="K45" s="16"/>
      <c r="L45" s="7">
        <v>10000</v>
      </c>
      <c r="M45" s="28" t="s">
        <v>179</v>
      </c>
      <c r="N45" s="15" t="s">
        <v>238</v>
      </c>
    </row>
    <row r="46" spans="1:14" x14ac:dyDescent="0.3">
      <c r="A46" s="4" t="s">
        <v>80</v>
      </c>
      <c r="B46" s="15" t="s">
        <v>243</v>
      </c>
      <c r="C46" s="15" t="s">
        <v>19</v>
      </c>
      <c r="D46" s="15" t="s">
        <v>138</v>
      </c>
      <c r="E46" s="15">
        <f t="shared" si="0"/>
        <v>2</v>
      </c>
      <c r="F46" s="15">
        <v>2</v>
      </c>
      <c r="G46" s="16" t="s">
        <v>115</v>
      </c>
      <c r="H46" s="16"/>
      <c r="I46" s="16"/>
      <c r="J46" s="16"/>
      <c r="K46" s="16" t="s">
        <v>115</v>
      </c>
      <c r="L46" s="7">
        <v>10000</v>
      </c>
      <c r="M46" s="28" t="s">
        <v>179</v>
      </c>
      <c r="N46" s="15" t="s">
        <v>238</v>
      </c>
    </row>
    <row r="47" spans="1:14" x14ac:dyDescent="0.3">
      <c r="A47" s="4" t="s">
        <v>232</v>
      </c>
      <c r="B47" s="15" t="s">
        <v>243</v>
      </c>
      <c r="C47" s="15" t="s">
        <v>19</v>
      </c>
      <c r="D47" s="15" t="s">
        <v>138</v>
      </c>
      <c r="E47" s="15">
        <f t="shared" si="0"/>
        <v>2</v>
      </c>
      <c r="F47" s="15">
        <v>2</v>
      </c>
      <c r="G47" s="16" t="s">
        <v>115</v>
      </c>
      <c r="H47" s="16"/>
      <c r="I47" s="16"/>
      <c r="J47" s="16"/>
      <c r="K47" s="16"/>
      <c r="L47" s="7">
        <v>7000</v>
      </c>
      <c r="M47" s="28" t="s">
        <v>179</v>
      </c>
      <c r="N47" s="15" t="s">
        <v>238</v>
      </c>
    </row>
    <row r="48" spans="1:14" x14ac:dyDescent="0.3">
      <c r="A48" s="4" t="s">
        <v>94</v>
      </c>
      <c r="B48" s="15" t="s">
        <v>243</v>
      </c>
      <c r="C48" s="15" t="s">
        <v>16</v>
      </c>
      <c r="D48" s="15" t="s">
        <v>139</v>
      </c>
      <c r="E48" s="15">
        <f t="shared" si="0"/>
        <v>4</v>
      </c>
      <c r="F48" s="15">
        <v>4</v>
      </c>
      <c r="G48" s="16"/>
      <c r="H48" s="16"/>
      <c r="I48" s="16"/>
      <c r="J48" s="16"/>
      <c r="K48" s="16" t="s">
        <v>115</v>
      </c>
      <c r="L48" s="7">
        <v>12000</v>
      </c>
      <c r="M48" s="28" t="s">
        <v>179</v>
      </c>
      <c r="N48" s="15" t="s">
        <v>238</v>
      </c>
    </row>
    <row r="49" spans="1:14" x14ac:dyDescent="0.3">
      <c r="A49" s="4" t="s">
        <v>121</v>
      </c>
      <c r="B49" s="15" t="s">
        <v>243</v>
      </c>
      <c r="C49" s="15" t="s">
        <v>97</v>
      </c>
      <c r="D49" s="15" t="s">
        <v>140</v>
      </c>
      <c r="E49" s="15">
        <f t="shared" si="0"/>
        <v>1</v>
      </c>
      <c r="F49" s="15">
        <v>1</v>
      </c>
      <c r="G49" s="16" t="s">
        <v>115</v>
      </c>
      <c r="H49" s="16"/>
      <c r="I49" s="16"/>
      <c r="J49" s="16"/>
      <c r="K49" s="16"/>
      <c r="L49" s="7">
        <v>5000</v>
      </c>
      <c r="M49" s="28" t="s">
        <v>179</v>
      </c>
      <c r="N49" s="15" t="s">
        <v>238</v>
      </c>
    </row>
    <row r="50" spans="1:14" ht="28.8" x14ac:dyDescent="0.3">
      <c r="A50" s="4" t="s">
        <v>101</v>
      </c>
      <c r="B50" s="15" t="s">
        <v>14</v>
      </c>
      <c r="C50" s="15" t="s">
        <v>14</v>
      </c>
      <c r="D50" s="15" t="s">
        <v>140</v>
      </c>
      <c r="E50" s="15">
        <f t="shared" si="0"/>
        <v>1</v>
      </c>
      <c r="F50" s="15">
        <v>1</v>
      </c>
      <c r="G50" s="16" t="s">
        <v>115</v>
      </c>
      <c r="H50" s="16"/>
      <c r="I50" s="16"/>
      <c r="J50" s="16"/>
      <c r="K50" s="16"/>
      <c r="L50" s="7">
        <v>4000</v>
      </c>
      <c r="M50" s="28" t="s">
        <v>179</v>
      </c>
      <c r="N50" s="15" t="s">
        <v>238</v>
      </c>
    </row>
    <row r="51" spans="1:14" x14ac:dyDescent="0.3">
      <c r="A51" s="4" t="s">
        <v>96</v>
      </c>
      <c r="B51" s="15" t="s">
        <v>243</v>
      </c>
      <c r="C51" s="15" t="s">
        <v>97</v>
      </c>
      <c r="D51" s="15" t="s">
        <v>139</v>
      </c>
      <c r="E51" s="15">
        <f t="shared" si="0"/>
        <v>4</v>
      </c>
      <c r="F51" s="15">
        <v>4</v>
      </c>
      <c r="G51" s="16" t="s">
        <v>115</v>
      </c>
      <c r="H51" s="16"/>
      <c r="I51" s="16"/>
      <c r="J51" s="16"/>
      <c r="K51" s="16"/>
      <c r="L51" s="7">
        <v>16000</v>
      </c>
      <c r="M51" s="28" t="s">
        <v>179</v>
      </c>
      <c r="N51" s="15" t="s">
        <v>238</v>
      </c>
    </row>
    <row r="52" spans="1:14" x14ac:dyDescent="0.3">
      <c r="A52" s="4" t="s">
        <v>122</v>
      </c>
      <c r="B52" s="15" t="s">
        <v>33</v>
      </c>
      <c r="C52" s="15" t="s">
        <v>33</v>
      </c>
      <c r="D52" s="15" t="s">
        <v>138</v>
      </c>
      <c r="E52" s="15">
        <f t="shared" si="0"/>
        <v>2</v>
      </c>
      <c r="F52" s="15">
        <v>2</v>
      </c>
      <c r="G52" s="16" t="s">
        <v>115</v>
      </c>
      <c r="H52" s="16"/>
      <c r="I52" s="16" t="s">
        <v>115</v>
      </c>
      <c r="J52" s="16"/>
      <c r="K52" s="16"/>
      <c r="L52" s="7">
        <v>10000</v>
      </c>
      <c r="M52" s="28" t="s">
        <v>179</v>
      </c>
      <c r="N52" s="15" t="s">
        <v>238</v>
      </c>
    </row>
    <row r="53" spans="1:14" x14ac:dyDescent="0.3">
      <c r="A53" s="4" t="s">
        <v>228</v>
      </c>
      <c r="B53" s="15" t="s">
        <v>243</v>
      </c>
      <c r="C53" s="15" t="s">
        <v>97</v>
      </c>
      <c r="D53" s="15" t="s">
        <v>138</v>
      </c>
      <c r="E53" s="15">
        <f t="shared" si="0"/>
        <v>2</v>
      </c>
      <c r="F53" s="15">
        <v>2</v>
      </c>
      <c r="G53" s="16" t="s">
        <v>115</v>
      </c>
      <c r="H53" s="16" t="s">
        <v>115</v>
      </c>
      <c r="I53" s="16" t="s">
        <v>115</v>
      </c>
      <c r="J53" s="16" t="s">
        <v>115</v>
      </c>
      <c r="K53" s="16"/>
      <c r="L53" s="7">
        <v>5000</v>
      </c>
      <c r="M53" s="28">
        <v>2023</v>
      </c>
      <c r="N53" s="15" t="s">
        <v>238</v>
      </c>
    </row>
    <row r="54" spans="1:14" x14ac:dyDescent="0.3">
      <c r="A54" s="4" t="s">
        <v>189</v>
      </c>
      <c r="B54" s="15" t="s">
        <v>33</v>
      </c>
      <c r="C54" s="15" t="s">
        <v>33</v>
      </c>
      <c r="D54" s="15" t="s">
        <v>138</v>
      </c>
      <c r="E54" s="15">
        <f>IF(D54="S",1,IF(D54="M",2,IF(D54="L",4,0)))</f>
        <v>2</v>
      </c>
      <c r="F54" s="15">
        <v>2</v>
      </c>
      <c r="G54" s="16"/>
      <c r="H54" s="16"/>
      <c r="I54" s="16"/>
      <c r="J54" s="16" t="s">
        <v>115</v>
      </c>
      <c r="K54" s="16"/>
      <c r="L54" s="7">
        <f>2500*4</f>
        <v>10000</v>
      </c>
      <c r="M54" s="28" t="s">
        <v>179</v>
      </c>
      <c r="N54" s="15" t="s">
        <v>239</v>
      </c>
    </row>
    <row r="55" spans="1:14" x14ac:dyDescent="0.3">
      <c r="A55" s="4" t="s">
        <v>194</v>
      </c>
      <c r="B55" s="15" t="s">
        <v>110</v>
      </c>
      <c r="C55" s="15" t="s">
        <v>174</v>
      </c>
      <c r="D55" s="15" t="s">
        <v>138</v>
      </c>
      <c r="E55" s="15">
        <f t="shared" si="0"/>
        <v>2</v>
      </c>
      <c r="F55" s="15">
        <v>2</v>
      </c>
      <c r="G55" s="16"/>
      <c r="H55" s="16"/>
      <c r="I55" s="16"/>
      <c r="J55" s="16"/>
      <c r="K55" s="16"/>
      <c r="L55" s="7">
        <v>9000</v>
      </c>
      <c r="M55" s="15">
        <v>2022</v>
      </c>
      <c r="N55" s="15" t="s">
        <v>238</v>
      </c>
    </row>
    <row r="56" spans="1:14" ht="28.8" x14ac:dyDescent="0.3">
      <c r="A56" s="4" t="s">
        <v>195</v>
      </c>
      <c r="B56" s="15" t="s">
        <v>110</v>
      </c>
      <c r="C56" s="15" t="s">
        <v>13</v>
      </c>
      <c r="D56" s="15" t="s">
        <v>138</v>
      </c>
      <c r="E56" s="15">
        <f t="shared" si="0"/>
        <v>2</v>
      </c>
      <c r="F56" s="15">
        <v>2</v>
      </c>
      <c r="G56" s="16"/>
      <c r="H56" s="16"/>
      <c r="I56" s="16"/>
      <c r="J56" s="16"/>
      <c r="K56" s="16"/>
      <c r="L56" s="7">
        <v>3200</v>
      </c>
      <c r="M56" s="15">
        <v>2022</v>
      </c>
      <c r="N56" s="15" t="s">
        <v>238</v>
      </c>
    </row>
    <row r="57" spans="1:14" x14ac:dyDescent="0.3">
      <c r="A57" s="4" t="s">
        <v>196</v>
      </c>
      <c r="B57" s="15" t="s">
        <v>33</v>
      </c>
      <c r="C57" s="15" t="s">
        <v>33</v>
      </c>
      <c r="D57" s="15" t="s">
        <v>139</v>
      </c>
      <c r="E57" s="15">
        <f t="shared" si="0"/>
        <v>4</v>
      </c>
      <c r="F57" s="15">
        <v>4</v>
      </c>
      <c r="G57" s="16"/>
      <c r="H57" s="16"/>
      <c r="I57" s="16"/>
      <c r="J57" s="16"/>
      <c r="K57" s="16"/>
      <c r="L57" s="7">
        <f>5000*4</f>
        <v>20000</v>
      </c>
      <c r="M57" s="15">
        <v>2022</v>
      </c>
      <c r="N57" s="15" t="s">
        <v>238</v>
      </c>
    </row>
    <row r="58" spans="1:14" x14ac:dyDescent="0.3">
      <c r="A58" s="4" t="s">
        <v>209</v>
      </c>
      <c r="B58" s="15" t="s">
        <v>21</v>
      </c>
      <c r="C58" s="15" t="s">
        <v>21</v>
      </c>
      <c r="D58" s="15" t="s">
        <v>138</v>
      </c>
      <c r="E58" s="15">
        <f t="shared" si="0"/>
        <v>2</v>
      </c>
      <c r="F58" s="15">
        <v>1</v>
      </c>
      <c r="G58" s="16"/>
      <c r="H58" s="16"/>
      <c r="I58" s="16"/>
      <c r="J58" s="16"/>
      <c r="K58" s="16"/>
      <c r="L58" s="7">
        <v>10240</v>
      </c>
      <c r="M58" s="15">
        <v>2022</v>
      </c>
      <c r="N58" s="15" t="s">
        <v>238</v>
      </c>
    </row>
    <row r="59" spans="1:14" ht="28.8" x14ac:dyDescent="0.3">
      <c r="A59" s="4" t="s">
        <v>197</v>
      </c>
      <c r="B59" s="15" t="s">
        <v>15</v>
      </c>
      <c r="C59" s="15" t="s">
        <v>15</v>
      </c>
      <c r="D59" s="15" t="s">
        <v>140</v>
      </c>
      <c r="E59" s="15">
        <f t="shared" si="0"/>
        <v>1</v>
      </c>
      <c r="F59" s="15">
        <v>1</v>
      </c>
      <c r="G59" s="16"/>
      <c r="H59" s="16"/>
      <c r="I59" s="16"/>
      <c r="J59" s="16"/>
      <c r="K59" s="16"/>
      <c r="L59" s="7">
        <v>480</v>
      </c>
      <c r="M59" s="15">
        <v>2022</v>
      </c>
      <c r="N59" s="15" t="s">
        <v>238</v>
      </c>
    </row>
    <row r="60" spans="1:14" x14ac:dyDescent="0.3">
      <c r="A60" s="4" t="s">
        <v>198</v>
      </c>
      <c r="B60" s="15" t="s">
        <v>14</v>
      </c>
      <c r="C60" s="15" t="s">
        <v>14</v>
      </c>
      <c r="D60" s="15" t="s">
        <v>138</v>
      </c>
      <c r="E60" s="15">
        <f t="shared" si="0"/>
        <v>2</v>
      </c>
      <c r="F60" s="15">
        <v>2</v>
      </c>
      <c r="G60" s="16"/>
      <c r="H60" s="16"/>
      <c r="I60" s="16"/>
      <c r="J60" s="16"/>
      <c r="K60" s="16"/>
      <c r="L60" s="7">
        <v>4750</v>
      </c>
      <c r="M60" s="15">
        <v>2022</v>
      </c>
      <c r="N60" s="15" t="s">
        <v>238</v>
      </c>
    </row>
    <row r="61" spans="1:14" x14ac:dyDescent="0.3">
      <c r="A61" s="4" t="s">
        <v>199</v>
      </c>
      <c r="B61" s="15" t="s">
        <v>21</v>
      </c>
      <c r="C61" s="15" t="s">
        <v>21</v>
      </c>
      <c r="D61" s="15" t="s">
        <v>139</v>
      </c>
      <c r="E61" s="15">
        <f t="shared" si="0"/>
        <v>4</v>
      </c>
      <c r="F61" s="15">
        <v>4</v>
      </c>
      <c r="G61" s="16"/>
      <c r="H61" s="16"/>
      <c r="I61" s="16"/>
      <c r="J61" s="16"/>
      <c r="K61" s="16"/>
      <c r="L61" s="7">
        <v>22500</v>
      </c>
      <c r="M61" s="15">
        <v>2022</v>
      </c>
      <c r="N61" s="15" t="s">
        <v>239</v>
      </c>
    </row>
    <row r="62" spans="1:14" x14ac:dyDescent="0.3">
      <c r="A62" s="4" t="s">
        <v>200</v>
      </c>
      <c r="B62" s="15" t="s">
        <v>243</v>
      </c>
      <c r="C62" s="15" t="s">
        <v>16</v>
      </c>
      <c r="D62" s="15" t="s">
        <v>139</v>
      </c>
      <c r="E62" s="15">
        <f t="shared" si="0"/>
        <v>4</v>
      </c>
      <c r="F62" s="15">
        <v>4</v>
      </c>
      <c r="G62" s="16"/>
      <c r="H62" s="16"/>
      <c r="I62" s="16"/>
      <c r="J62" s="16"/>
      <c r="K62" s="16"/>
      <c r="L62" s="27">
        <v>22000</v>
      </c>
      <c r="M62" s="15">
        <v>2022</v>
      </c>
      <c r="N62" s="15" t="s">
        <v>239</v>
      </c>
    </row>
    <row r="63" spans="1:14" x14ac:dyDescent="0.3">
      <c r="A63" s="4" t="s">
        <v>201</v>
      </c>
      <c r="B63" s="15" t="s">
        <v>110</v>
      </c>
      <c r="C63" s="15" t="s">
        <v>13</v>
      </c>
      <c r="D63" s="15" t="s">
        <v>139</v>
      </c>
      <c r="E63" s="15">
        <f t="shared" si="0"/>
        <v>4</v>
      </c>
      <c r="F63" s="15">
        <v>4</v>
      </c>
      <c r="G63" s="16"/>
      <c r="H63" s="16"/>
      <c r="I63" s="16"/>
      <c r="J63" s="16"/>
      <c r="K63" s="16"/>
      <c r="L63" s="7">
        <f>8523*4</f>
        <v>34092</v>
      </c>
      <c r="M63" s="15">
        <v>2022</v>
      </c>
      <c r="N63" s="15" t="s">
        <v>239</v>
      </c>
    </row>
    <row r="64" spans="1:14" x14ac:dyDescent="0.3">
      <c r="A64" s="4" t="s">
        <v>202</v>
      </c>
      <c r="B64" s="15" t="s">
        <v>15</v>
      </c>
      <c r="C64" s="15" t="s">
        <v>15</v>
      </c>
      <c r="D64" s="15" t="s">
        <v>139</v>
      </c>
      <c r="E64" s="15">
        <f t="shared" si="0"/>
        <v>4</v>
      </c>
      <c r="F64" s="15">
        <v>4</v>
      </c>
      <c r="G64" s="16"/>
      <c r="H64" s="16"/>
      <c r="I64" s="16"/>
      <c r="J64" s="16"/>
      <c r="K64" s="16"/>
      <c r="L64" s="7">
        <v>14980</v>
      </c>
      <c r="M64" s="15">
        <v>2022</v>
      </c>
      <c r="N64" s="15" t="s">
        <v>239</v>
      </c>
    </row>
    <row r="65" spans="1:14" ht="28.8" x14ac:dyDescent="0.3">
      <c r="A65" s="4" t="s">
        <v>203</v>
      </c>
      <c r="B65" s="15" t="s">
        <v>243</v>
      </c>
      <c r="C65" s="15" t="s">
        <v>16</v>
      </c>
      <c r="D65" s="15" t="s">
        <v>140</v>
      </c>
      <c r="E65" s="15">
        <f t="shared" si="0"/>
        <v>1</v>
      </c>
      <c r="F65" s="15">
        <v>0</v>
      </c>
      <c r="G65" s="16"/>
      <c r="H65" s="16"/>
      <c r="I65" s="16"/>
      <c r="J65" s="16"/>
      <c r="K65" s="16"/>
      <c r="L65" s="7">
        <v>1920</v>
      </c>
      <c r="M65" s="15">
        <v>2022</v>
      </c>
      <c r="N65" s="15" t="s">
        <v>239</v>
      </c>
    </row>
    <row r="66" spans="1:14" ht="28.8" x14ac:dyDescent="0.3">
      <c r="A66" s="4" t="s">
        <v>204</v>
      </c>
      <c r="B66" s="15" t="s">
        <v>110</v>
      </c>
      <c r="C66" s="15" t="s">
        <v>13</v>
      </c>
      <c r="D66" s="15" t="s">
        <v>138</v>
      </c>
      <c r="E66" s="15">
        <f t="shared" si="0"/>
        <v>2</v>
      </c>
      <c r="F66" s="15">
        <v>2</v>
      </c>
      <c r="G66" s="16"/>
      <c r="H66" s="16"/>
      <c r="I66" s="16"/>
      <c r="J66" s="16"/>
      <c r="K66" s="16"/>
      <c r="L66" s="7">
        <v>15040</v>
      </c>
      <c r="M66" s="15">
        <v>2022</v>
      </c>
      <c r="N66" s="15" t="s">
        <v>239</v>
      </c>
    </row>
    <row r="67" spans="1:14" x14ac:dyDescent="0.3">
      <c r="A67" s="4" t="s">
        <v>205</v>
      </c>
      <c r="B67" s="15" t="s">
        <v>15</v>
      </c>
      <c r="C67" s="15" t="s">
        <v>15</v>
      </c>
      <c r="D67" s="15" t="s">
        <v>140</v>
      </c>
      <c r="E67" s="15">
        <f t="shared" si="0"/>
        <v>1</v>
      </c>
      <c r="F67" s="15">
        <v>0</v>
      </c>
      <c r="G67" s="16"/>
      <c r="H67" s="16"/>
      <c r="I67" s="16"/>
      <c r="J67" s="16"/>
      <c r="K67" s="16"/>
      <c r="L67" s="7">
        <v>1920</v>
      </c>
      <c r="M67" s="15">
        <v>2022</v>
      </c>
      <c r="N67" s="15" t="s">
        <v>238</v>
      </c>
    </row>
    <row r="68" spans="1:14" x14ac:dyDescent="0.3">
      <c r="A68" s="4" t="s">
        <v>207</v>
      </c>
      <c r="B68" s="15" t="s">
        <v>15</v>
      </c>
      <c r="C68" s="15" t="s">
        <v>15</v>
      </c>
      <c r="D68" s="15" t="s">
        <v>140</v>
      </c>
      <c r="E68" s="15">
        <f t="shared" si="0"/>
        <v>1</v>
      </c>
      <c r="F68" s="15">
        <v>1</v>
      </c>
      <c r="G68" s="16"/>
      <c r="H68" s="16"/>
      <c r="I68" s="16"/>
      <c r="J68" s="16"/>
      <c r="K68" s="16"/>
      <c r="L68" s="7">
        <v>0</v>
      </c>
      <c r="M68" s="15">
        <v>2022</v>
      </c>
      <c r="N68" s="15" t="s">
        <v>238</v>
      </c>
    </row>
    <row r="69" spans="1:14" x14ac:dyDescent="0.3">
      <c r="A69" s="4" t="s">
        <v>206</v>
      </c>
      <c r="B69" s="15" t="s">
        <v>110</v>
      </c>
      <c r="C69" s="15" t="s">
        <v>13</v>
      </c>
      <c r="D69" s="15" t="s">
        <v>138</v>
      </c>
      <c r="E69" s="15">
        <f t="shared" si="0"/>
        <v>2</v>
      </c>
      <c r="F69" s="15">
        <v>2</v>
      </c>
      <c r="G69" s="16"/>
      <c r="H69" s="16"/>
      <c r="I69" s="16"/>
      <c r="J69" s="16"/>
      <c r="K69" s="16"/>
      <c r="L69" s="7">
        <v>3840</v>
      </c>
      <c r="M69" s="15">
        <v>2022</v>
      </c>
      <c r="N69" s="15" t="s">
        <v>238</v>
      </c>
    </row>
    <row r="70" spans="1:14" ht="28.8" x14ac:dyDescent="0.3">
      <c r="A70" s="4" t="s">
        <v>210</v>
      </c>
      <c r="B70" s="15" t="s">
        <v>21</v>
      </c>
      <c r="C70" s="15" t="s">
        <v>21</v>
      </c>
      <c r="D70" s="15" t="s">
        <v>140</v>
      </c>
      <c r="E70" s="15">
        <f t="shared" si="0"/>
        <v>1</v>
      </c>
      <c r="F70" s="15">
        <v>1</v>
      </c>
      <c r="G70" s="16"/>
      <c r="H70" s="16"/>
      <c r="I70" s="16"/>
      <c r="J70" s="16"/>
      <c r="K70" s="16"/>
      <c r="L70" s="7">
        <v>3040</v>
      </c>
      <c r="M70" s="15">
        <v>2022</v>
      </c>
      <c r="N70" s="15" t="s">
        <v>238</v>
      </c>
    </row>
    <row r="71" spans="1:14" ht="28.8" x14ac:dyDescent="0.3">
      <c r="A71" s="4" t="s">
        <v>208</v>
      </c>
      <c r="B71" s="15" t="s">
        <v>21</v>
      </c>
      <c r="C71" s="15" t="s">
        <v>21</v>
      </c>
      <c r="D71" s="15" t="s">
        <v>138</v>
      </c>
      <c r="E71" s="15">
        <f t="shared" si="0"/>
        <v>2</v>
      </c>
      <c r="F71" s="15">
        <v>2</v>
      </c>
      <c r="G71" s="16"/>
      <c r="H71" s="16"/>
      <c r="I71" s="16"/>
      <c r="J71" s="16"/>
      <c r="K71" s="16"/>
      <c r="L71" s="7">
        <v>8040</v>
      </c>
      <c r="M71" s="15">
        <v>2022</v>
      </c>
      <c r="N71" s="15" t="s">
        <v>238</v>
      </c>
    </row>
    <row r="72" spans="1:14" x14ac:dyDescent="0.3">
      <c r="A72" s="4" t="s">
        <v>211</v>
      </c>
      <c r="B72" s="15" t="s">
        <v>15</v>
      </c>
      <c r="C72" s="15" t="s">
        <v>15</v>
      </c>
      <c r="D72" s="15" t="s">
        <v>140</v>
      </c>
      <c r="E72" s="15">
        <f t="shared" si="0"/>
        <v>1</v>
      </c>
      <c r="F72" s="15">
        <v>1</v>
      </c>
      <c r="G72" s="16"/>
      <c r="H72" s="16"/>
      <c r="I72" s="16"/>
      <c r="J72" s="16"/>
      <c r="K72" s="16"/>
      <c r="L72" s="7">
        <v>960</v>
      </c>
      <c r="M72" s="15">
        <v>2022</v>
      </c>
      <c r="N72" s="15" t="s">
        <v>238</v>
      </c>
    </row>
    <row r="73" spans="1:14" x14ac:dyDescent="0.3">
      <c r="A73" s="4" t="s">
        <v>212</v>
      </c>
      <c r="B73" s="15" t="s">
        <v>243</v>
      </c>
      <c r="C73" s="15" t="s">
        <v>97</v>
      </c>
      <c r="D73" s="15" t="s">
        <v>140</v>
      </c>
      <c r="E73" s="15">
        <f t="shared" si="0"/>
        <v>1</v>
      </c>
      <c r="F73" s="15">
        <v>1</v>
      </c>
      <c r="G73" s="16"/>
      <c r="H73" s="16"/>
      <c r="I73" s="16"/>
      <c r="J73" s="16"/>
      <c r="K73" s="16"/>
      <c r="L73" s="7">
        <v>2420</v>
      </c>
      <c r="M73" s="15">
        <v>2022</v>
      </c>
      <c r="N73" s="15" t="s">
        <v>238</v>
      </c>
    </row>
    <row r="74" spans="1:14" x14ac:dyDescent="0.3">
      <c r="A74" s="4" t="s">
        <v>213</v>
      </c>
      <c r="B74" s="15" t="s">
        <v>243</v>
      </c>
      <c r="C74" s="15" t="s">
        <v>19</v>
      </c>
      <c r="D74" s="15" t="s">
        <v>140</v>
      </c>
      <c r="E74" s="15">
        <f t="shared" si="0"/>
        <v>1</v>
      </c>
      <c r="F74" s="15">
        <v>0</v>
      </c>
      <c r="G74" s="16"/>
      <c r="H74" s="16"/>
      <c r="I74" s="16"/>
      <c r="J74" s="16"/>
      <c r="K74" s="16"/>
      <c r="L74" s="7">
        <f>2320+960</f>
        <v>3280</v>
      </c>
      <c r="M74" s="15">
        <v>2022</v>
      </c>
      <c r="N74" s="15" t="s">
        <v>238</v>
      </c>
    </row>
    <row r="75" spans="1:14" x14ac:dyDescent="0.3">
      <c r="A75" s="4" t="s">
        <v>214</v>
      </c>
      <c r="B75" s="15" t="s">
        <v>243</v>
      </c>
      <c r="C75" s="15" t="s">
        <v>19</v>
      </c>
      <c r="D75" s="15" t="s">
        <v>140</v>
      </c>
      <c r="E75" s="15">
        <f t="shared" si="0"/>
        <v>1</v>
      </c>
      <c r="F75" s="15">
        <v>1</v>
      </c>
      <c r="G75" s="16"/>
      <c r="H75" s="16"/>
      <c r="I75" s="16"/>
      <c r="J75" s="16"/>
      <c r="K75" s="16"/>
      <c r="L75" s="7">
        <v>10000</v>
      </c>
      <c r="M75" s="15">
        <v>2022</v>
      </c>
      <c r="N75" s="15" t="s">
        <v>238</v>
      </c>
    </row>
    <row r="76" spans="1:14" x14ac:dyDescent="0.3">
      <c r="A76" s="4" t="s">
        <v>240</v>
      </c>
      <c r="B76" s="15" t="s">
        <v>21</v>
      </c>
      <c r="C76" s="15" t="s">
        <v>21</v>
      </c>
      <c r="D76" s="15" t="s">
        <v>138</v>
      </c>
      <c r="E76" s="15">
        <f t="shared" si="0"/>
        <v>2</v>
      </c>
      <c r="F76" s="15">
        <v>2</v>
      </c>
      <c r="G76" s="16"/>
      <c r="H76" s="16"/>
      <c r="I76" s="16"/>
      <c r="J76" s="16"/>
      <c r="K76" s="16"/>
      <c r="L76" s="7">
        <v>8000</v>
      </c>
      <c r="M76" s="15">
        <v>2022</v>
      </c>
      <c r="N76" s="15" t="s">
        <v>238</v>
      </c>
    </row>
    <row r="77" spans="1:14" x14ac:dyDescent="0.3">
      <c r="A77" s="4" t="s">
        <v>241</v>
      </c>
      <c r="B77" s="15" t="s">
        <v>243</v>
      </c>
      <c r="C77" s="15" t="s">
        <v>16</v>
      </c>
      <c r="D77" s="15" t="s">
        <v>138</v>
      </c>
      <c r="E77" s="15">
        <f t="shared" si="0"/>
        <v>2</v>
      </c>
      <c r="F77" s="15">
        <v>1</v>
      </c>
      <c r="G77" s="16"/>
      <c r="H77" s="16"/>
      <c r="I77" s="16"/>
      <c r="J77" s="16"/>
      <c r="K77" s="16"/>
      <c r="L77" s="7">
        <v>12000</v>
      </c>
      <c r="M77" s="15">
        <v>2022</v>
      </c>
      <c r="N77" s="15" t="s">
        <v>238</v>
      </c>
    </row>
    <row r="78" spans="1:14" x14ac:dyDescent="0.3">
      <c r="A78" s="4" t="s">
        <v>245</v>
      </c>
      <c r="B78" s="15" t="s">
        <v>110</v>
      </c>
      <c r="C78" s="15" t="s">
        <v>13</v>
      </c>
      <c r="D78" s="15" t="s">
        <v>138</v>
      </c>
      <c r="E78" s="15">
        <f t="shared" si="0"/>
        <v>2</v>
      </c>
      <c r="F78" s="15">
        <v>1</v>
      </c>
      <c r="G78" s="16"/>
      <c r="H78" s="16"/>
      <c r="I78" s="16"/>
      <c r="J78" s="16"/>
      <c r="K78" s="16"/>
      <c r="L78" s="7">
        <f>2800*4</f>
        <v>11200</v>
      </c>
      <c r="M78" s="15">
        <v>2022</v>
      </c>
      <c r="N78" s="15" t="s">
        <v>238</v>
      </c>
    </row>
    <row r="79" spans="1:14" x14ac:dyDescent="0.3">
      <c r="A79" s="4" t="s">
        <v>219</v>
      </c>
      <c r="B79" s="15" t="s">
        <v>15</v>
      </c>
      <c r="C79" s="15" t="s">
        <v>15</v>
      </c>
      <c r="D79" s="15" t="s">
        <v>138</v>
      </c>
      <c r="E79" s="15">
        <f t="shared" si="0"/>
        <v>2</v>
      </c>
      <c r="F79" s="15">
        <v>2</v>
      </c>
      <c r="G79" s="16"/>
      <c r="H79" s="16"/>
      <c r="I79" s="16"/>
      <c r="J79" s="16"/>
      <c r="K79" s="16"/>
      <c r="L79" s="7">
        <v>6000</v>
      </c>
      <c r="M79" s="15">
        <v>2022</v>
      </c>
      <c r="N79" s="15" t="s">
        <v>238</v>
      </c>
    </row>
    <row r="80" spans="1:14" x14ac:dyDescent="0.3">
      <c r="A80" s="4" t="s">
        <v>220</v>
      </c>
      <c r="B80" s="15" t="s">
        <v>243</v>
      </c>
      <c r="C80" s="15" t="s">
        <v>97</v>
      </c>
      <c r="D80" s="15" t="s">
        <v>140</v>
      </c>
      <c r="E80" s="15">
        <f t="shared" si="0"/>
        <v>1</v>
      </c>
      <c r="F80" s="15">
        <v>0</v>
      </c>
      <c r="G80" s="16"/>
      <c r="H80" s="16"/>
      <c r="I80" s="16"/>
      <c r="J80" s="16"/>
      <c r="K80" s="16"/>
      <c r="L80" s="7">
        <v>5000</v>
      </c>
      <c r="M80" s="15">
        <v>2022</v>
      </c>
      <c r="N80" s="15" t="s">
        <v>238</v>
      </c>
    </row>
    <row r="81" spans="1:14" x14ac:dyDescent="0.3">
      <c r="A81" s="4" t="s">
        <v>221</v>
      </c>
      <c r="B81" s="15" t="s">
        <v>15</v>
      </c>
      <c r="C81" s="15" t="s">
        <v>15</v>
      </c>
      <c r="D81" s="15" t="s">
        <v>140</v>
      </c>
      <c r="E81" s="15">
        <f t="shared" si="0"/>
        <v>1</v>
      </c>
      <c r="F81" s="15">
        <v>0</v>
      </c>
      <c r="G81" s="16"/>
      <c r="H81" s="16"/>
      <c r="I81" s="16"/>
      <c r="J81" s="16"/>
      <c r="K81" s="16"/>
      <c r="L81" s="7">
        <v>3000</v>
      </c>
      <c r="M81" s="15">
        <v>2022</v>
      </c>
      <c r="N81" s="15" t="s">
        <v>238</v>
      </c>
    </row>
    <row r="82" spans="1:14" x14ac:dyDescent="0.3">
      <c r="A82" s="4" t="s">
        <v>242</v>
      </c>
      <c r="B82" s="15" t="s">
        <v>33</v>
      </c>
      <c r="C82" s="15" t="s">
        <v>33</v>
      </c>
      <c r="D82" s="15" t="s">
        <v>138</v>
      </c>
      <c r="E82" s="15">
        <f t="shared" si="0"/>
        <v>2</v>
      </c>
      <c r="F82" s="15">
        <v>2</v>
      </c>
      <c r="G82" s="16"/>
      <c r="H82" s="16"/>
      <c r="I82" s="16"/>
      <c r="J82" s="16"/>
      <c r="K82" s="16"/>
      <c r="L82" s="7">
        <v>7100</v>
      </c>
      <c r="M82" s="15">
        <v>2022</v>
      </c>
      <c r="N82" s="15" t="s">
        <v>238</v>
      </c>
    </row>
  </sheetData>
  <autoFilter ref="A1:AJ82" xr:uid="{68B8BFC1-31E6-4E2E-AC40-227EE8C7BEFB}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FE49D-7EFD-421A-82D8-0F5D0A4DD427}">
  <dimension ref="B4:J33"/>
  <sheetViews>
    <sheetView showGridLines="0" workbookViewId="0">
      <selection activeCell="H6" sqref="H6"/>
    </sheetView>
  </sheetViews>
  <sheetFormatPr baseColWidth="10" defaultRowHeight="14.4" x14ac:dyDescent="0.3"/>
  <cols>
    <col min="2" max="2" width="73.44140625" customWidth="1"/>
    <col min="3" max="4" width="14.5546875" customWidth="1"/>
    <col min="5" max="5" width="14.5546875" style="29" customWidth="1"/>
    <col min="6" max="6" width="11.44140625" customWidth="1"/>
    <col min="7" max="7" width="13.88671875" bestFit="1" customWidth="1"/>
    <col min="8" max="8" width="12.88671875" bestFit="1" customWidth="1"/>
  </cols>
  <sheetData>
    <row r="4" spans="2:8" x14ac:dyDescent="0.3">
      <c r="B4" s="72" t="s">
        <v>329</v>
      </c>
      <c r="C4" s="72" t="s">
        <v>319</v>
      </c>
      <c r="D4" s="72" t="s">
        <v>318</v>
      </c>
      <c r="E4" s="72" t="s">
        <v>317</v>
      </c>
      <c r="G4" s="72" t="s">
        <v>320</v>
      </c>
      <c r="H4" s="72" t="s">
        <v>321</v>
      </c>
    </row>
    <row r="5" spans="2:8" x14ac:dyDescent="0.3">
      <c r="B5" s="4" t="s">
        <v>133</v>
      </c>
      <c r="C5" s="15" t="s">
        <v>21</v>
      </c>
      <c r="D5" s="15" t="s">
        <v>246</v>
      </c>
      <c r="E5" s="30" t="s">
        <v>316</v>
      </c>
      <c r="G5" s="7">
        <v>23000</v>
      </c>
      <c r="H5" s="7"/>
    </row>
    <row r="6" spans="2:8" x14ac:dyDescent="0.3">
      <c r="B6" s="4" t="s">
        <v>135</v>
      </c>
      <c r="C6" s="15" t="s">
        <v>21</v>
      </c>
      <c r="D6" s="15" t="s">
        <v>246</v>
      </c>
      <c r="E6" s="30" t="s">
        <v>316</v>
      </c>
      <c r="G6" s="7">
        <v>37000</v>
      </c>
      <c r="H6" s="7">
        <f>46100+8000</f>
        <v>54100</v>
      </c>
    </row>
    <row r="7" spans="2:8" x14ac:dyDescent="0.3">
      <c r="B7" s="4" t="s">
        <v>131</v>
      </c>
      <c r="C7" s="15" t="s">
        <v>13</v>
      </c>
      <c r="D7" s="69" t="s">
        <v>246</v>
      </c>
      <c r="E7" s="68" t="s">
        <v>314</v>
      </c>
      <c r="G7" s="7">
        <v>20000</v>
      </c>
      <c r="H7" s="7"/>
    </row>
    <row r="8" spans="2:8" x14ac:dyDescent="0.3">
      <c r="B8" s="4" t="s">
        <v>173</v>
      </c>
      <c r="C8" s="15" t="s">
        <v>13</v>
      </c>
      <c r="D8" s="15" t="s">
        <v>247</v>
      </c>
      <c r="E8" s="30" t="s">
        <v>316</v>
      </c>
      <c r="G8" s="7">
        <v>4000</v>
      </c>
      <c r="H8" s="7">
        <v>0</v>
      </c>
    </row>
    <row r="9" spans="2:8" x14ac:dyDescent="0.3">
      <c r="B9" s="4" t="s">
        <v>43</v>
      </c>
      <c r="C9" s="15" t="s">
        <v>15</v>
      </c>
      <c r="D9" s="15" t="s">
        <v>247</v>
      </c>
      <c r="E9" s="30" t="s">
        <v>316</v>
      </c>
      <c r="G9" s="7">
        <v>13000</v>
      </c>
      <c r="H9" s="7"/>
    </row>
    <row r="10" spans="2:8" x14ac:dyDescent="0.3">
      <c r="B10" s="4" t="s">
        <v>302</v>
      </c>
      <c r="C10" s="15" t="s">
        <v>19</v>
      </c>
      <c r="D10" s="15" t="s">
        <v>247</v>
      </c>
      <c r="E10" s="15" t="s">
        <v>316</v>
      </c>
      <c r="G10" s="7">
        <v>20000</v>
      </c>
      <c r="H10" s="7"/>
    </row>
    <row r="11" spans="2:8" x14ac:dyDescent="0.3">
      <c r="B11" s="4" t="s">
        <v>146</v>
      </c>
      <c r="C11" s="15" t="s">
        <v>14</v>
      </c>
      <c r="D11" s="15" t="s">
        <v>247</v>
      </c>
      <c r="E11" s="15" t="s">
        <v>247</v>
      </c>
      <c r="G11" s="7">
        <v>22500</v>
      </c>
      <c r="H11" s="7"/>
    </row>
    <row r="12" spans="2:8" x14ac:dyDescent="0.3">
      <c r="B12" s="4" t="s">
        <v>71</v>
      </c>
      <c r="C12" s="15" t="s">
        <v>15</v>
      </c>
      <c r="D12" s="15" t="s">
        <v>247</v>
      </c>
      <c r="E12" s="15" t="s">
        <v>247</v>
      </c>
      <c r="F12" t="s">
        <v>315</v>
      </c>
      <c r="G12" s="7">
        <v>10000</v>
      </c>
      <c r="H12" s="7"/>
    </row>
    <row r="13" spans="2:8" x14ac:dyDescent="0.3">
      <c r="B13" s="4" t="s">
        <v>136</v>
      </c>
      <c r="C13" s="15" t="s">
        <v>16</v>
      </c>
      <c r="D13" s="15" t="s">
        <v>247</v>
      </c>
      <c r="E13" s="15" t="s">
        <v>247</v>
      </c>
      <c r="G13" s="7">
        <v>10000</v>
      </c>
      <c r="H13" s="7"/>
    </row>
    <row r="14" spans="2:8" x14ac:dyDescent="0.3">
      <c r="B14" s="4" t="s">
        <v>331</v>
      </c>
      <c r="C14" s="15" t="s">
        <v>16</v>
      </c>
      <c r="D14" s="15" t="s">
        <v>248</v>
      </c>
      <c r="E14" s="30" t="s">
        <v>248</v>
      </c>
      <c r="G14" s="7">
        <v>12000</v>
      </c>
      <c r="H14" s="7"/>
    </row>
    <row r="15" spans="2:8" x14ac:dyDescent="0.3">
      <c r="B15" s="4" t="s">
        <v>229</v>
      </c>
      <c r="C15" s="15" t="s">
        <v>16</v>
      </c>
      <c r="D15" s="15" t="s">
        <v>248</v>
      </c>
      <c r="E15" s="30" t="s">
        <v>248</v>
      </c>
      <c r="G15" s="7">
        <v>12000</v>
      </c>
      <c r="H15" s="7"/>
    </row>
    <row r="16" spans="2:8" x14ac:dyDescent="0.3">
      <c r="B16" s="4" t="s">
        <v>145</v>
      </c>
      <c r="C16" s="15" t="s">
        <v>19</v>
      </c>
      <c r="D16" s="15" t="s">
        <v>248</v>
      </c>
      <c r="E16" s="30" t="s">
        <v>248</v>
      </c>
      <c r="G16" s="7">
        <v>22500</v>
      </c>
      <c r="H16" s="7"/>
    </row>
    <row r="17" spans="2:8" x14ac:dyDescent="0.3">
      <c r="B17" s="4" t="s">
        <v>228</v>
      </c>
      <c r="C17" s="15" t="s">
        <v>97</v>
      </c>
      <c r="D17" s="15" t="s">
        <v>248</v>
      </c>
      <c r="E17" s="30" t="s">
        <v>248</v>
      </c>
      <c r="G17" s="7">
        <v>5000</v>
      </c>
      <c r="H17" s="7"/>
    </row>
    <row r="18" spans="2:8" x14ac:dyDescent="0.3">
      <c r="B18" s="4" t="s">
        <v>234</v>
      </c>
      <c r="C18" s="15" t="s">
        <v>97</v>
      </c>
      <c r="D18" s="71" t="s">
        <v>248</v>
      </c>
      <c r="E18" s="70" t="s">
        <v>249</v>
      </c>
      <c r="F18" t="s">
        <v>524</v>
      </c>
      <c r="G18" s="7">
        <v>5000</v>
      </c>
      <c r="H18" s="7">
        <v>0</v>
      </c>
    </row>
    <row r="19" spans="2:8" x14ac:dyDescent="0.3">
      <c r="B19" s="4" t="s">
        <v>91</v>
      </c>
      <c r="C19" s="15" t="s">
        <v>15</v>
      </c>
      <c r="D19" s="71" t="s">
        <v>248</v>
      </c>
      <c r="E19" s="70" t="s">
        <v>249</v>
      </c>
      <c r="F19" t="s">
        <v>330</v>
      </c>
      <c r="G19" s="7">
        <v>13000</v>
      </c>
      <c r="H19" s="7"/>
    </row>
    <row r="20" spans="2:8" x14ac:dyDescent="0.3">
      <c r="B20" s="4" t="s">
        <v>92</v>
      </c>
      <c r="C20" s="15" t="s">
        <v>15</v>
      </c>
      <c r="D20" s="15" t="s">
        <v>249</v>
      </c>
      <c r="E20" s="30" t="s">
        <v>249</v>
      </c>
      <c r="G20" s="7">
        <v>10000</v>
      </c>
      <c r="H20" s="7"/>
    </row>
    <row r="21" spans="2:8" x14ac:dyDescent="0.3">
      <c r="B21" s="4" t="s">
        <v>313</v>
      </c>
      <c r="C21" s="15" t="s">
        <v>174</v>
      </c>
      <c r="D21" s="69" t="s">
        <v>248</v>
      </c>
      <c r="E21" s="68" t="s">
        <v>314</v>
      </c>
      <c r="G21" s="7">
        <v>5000</v>
      </c>
      <c r="H21" s="7">
        <f>250*3.7</f>
        <v>925</v>
      </c>
    </row>
    <row r="22" spans="2:8" x14ac:dyDescent="0.3">
      <c r="B22" s="4" t="s">
        <v>308</v>
      </c>
      <c r="C22" s="15" t="s">
        <v>19</v>
      </c>
      <c r="D22" s="69" t="s">
        <v>246</v>
      </c>
      <c r="E22" s="68" t="s">
        <v>314</v>
      </c>
      <c r="G22" s="7">
        <v>7000</v>
      </c>
      <c r="H22" s="7">
        <v>2420</v>
      </c>
    </row>
    <row r="23" spans="2:8" x14ac:dyDescent="0.3">
      <c r="B23" s="4" t="s">
        <v>193</v>
      </c>
      <c r="C23" s="15" t="s">
        <v>15</v>
      </c>
      <c r="D23" s="69" t="s">
        <v>246</v>
      </c>
      <c r="E23" s="68" t="s">
        <v>314</v>
      </c>
      <c r="G23" s="7">
        <v>5000</v>
      </c>
      <c r="H23" s="7">
        <v>0</v>
      </c>
    </row>
    <row r="25" spans="2:8" x14ac:dyDescent="0.3">
      <c r="B25" s="73" t="s">
        <v>322</v>
      </c>
      <c r="C25" s="15" t="s">
        <v>21</v>
      </c>
      <c r="H25" s="74">
        <v>640</v>
      </c>
    </row>
    <row r="26" spans="2:8" x14ac:dyDescent="0.3">
      <c r="B26" s="73" t="s">
        <v>323</v>
      </c>
      <c r="C26" s="15" t="s">
        <v>19</v>
      </c>
      <c r="H26" s="74">
        <v>1920</v>
      </c>
    </row>
    <row r="27" spans="2:8" x14ac:dyDescent="0.3">
      <c r="B27" s="73" t="s">
        <v>324</v>
      </c>
      <c r="C27" s="15" t="s">
        <v>16</v>
      </c>
      <c r="H27" s="74">
        <v>2560</v>
      </c>
    </row>
    <row r="28" spans="2:8" x14ac:dyDescent="0.3">
      <c r="B28" s="73" t="s">
        <v>325</v>
      </c>
      <c r="C28" s="15" t="s">
        <v>19</v>
      </c>
      <c r="H28" s="74">
        <v>2560</v>
      </c>
    </row>
    <row r="29" spans="2:8" x14ac:dyDescent="0.3">
      <c r="B29" s="73" t="s">
        <v>326</v>
      </c>
      <c r="C29" s="15" t="s">
        <v>15</v>
      </c>
      <c r="H29" s="74">
        <v>1200</v>
      </c>
    </row>
    <row r="30" spans="2:8" x14ac:dyDescent="0.3">
      <c r="B30" s="73" t="s">
        <v>327</v>
      </c>
      <c r="C30" s="15" t="s">
        <v>27</v>
      </c>
      <c r="H30" s="74">
        <v>240</v>
      </c>
    </row>
    <row r="31" spans="2:8" x14ac:dyDescent="0.3">
      <c r="B31" s="73" t="s">
        <v>328</v>
      </c>
      <c r="C31" s="15" t="s">
        <v>15</v>
      </c>
      <c r="H31" s="74">
        <v>3060</v>
      </c>
    </row>
    <row r="33" spans="7:10" x14ac:dyDescent="0.3">
      <c r="G33" s="74">
        <f>SUM(G5:G32)</f>
        <v>256000</v>
      </c>
      <c r="H33" s="74">
        <f>SUM(H5:H32)</f>
        <v>69625</v>
      </c>
      <c r="I33" s="75">
        <f>H33/G33</f>
        <v>0.27197265625</v>
      </c>
      <c r="J33" s="76">
        <v>45064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61CEC-2C9A-4F8D-969B-533DF54E0A60}">
  <dimension ref="A4:D46"/>
  <sheetViews>
    <sheetView workbookViewId="0">
      <selection activeCell="A25" sqref="A25"/>
    </sheetView>
  </sheetViews>
  <sheetFormatPr baseColWidth="10" defaultRowHeight="14.4" x14ac:dyDescent="0.3"/>
  <cols>
    <col min="1" max="1" width="56.6640625" bestFit="1" customWidth="1"/>
    <col min="4" max="4" width="11.88671875" bestFit="1" customWidth="1"/>
  </cols>
  <sheetData>
    <row r="4" spans="1:3" x14ac:dyDescent="0.3">
      <c r="A4" t="s">
        <v>0</v>
      </c>
    </row>
    <row r="5" spans="1:3" x14ac:dyDescent="0.3">
      <c r="A5" t="s">
        <v>2</v>
      </c>
    </row>
    <row r="6" spans="1:3" x14ac:dyDescent="0.3">
      <c r="A6" t="s">
        <v>3</v>
      </c>
    </row>
    <row r="7" spans="1:3" x14ac:dyDescent="0.3">
      <c r="A7" t="s">
        <v>5</v>
      </c>
    </row>
    <row r="8" spans="1:3" x14ac:dyDescent="0.3">
      <c r="A8" t="s">
        <v>6</v>
      </c>
    </row>
    <row r="9" spans="1:3" x14ac:dyDescent="0.3">
      <c r="A9" t="s">
        <v>7</v>
      </c>
    </row>
    <row r="10" spans="1:3" x14ac:dyDescent="0.3">
      <c r="A10" t="s">
        <v>8</v>
      </c>
    </row>
    <row r="11" spans="1:3" x14ac:dyDescent="0.3">
      <c r="A11" t="s">
        <v>10</v>
      </c>
    </row>
    <row r="12" spans="1:3" x14ac:dyDescent="0.3">
      <c r="A12" t="s">
        <v>11</v>
      </c>
    </row>
    <row r="13" spans="1:3" x14ac:dyDescent="0.3">
      <c r="A13" t="s">
        <v>25</v>
      </c>
      <c r="B13" t="s">
        <v>14</v>
      </c>
    </row>
    <row r="14" spans="1:3" x14ac:dyDescent="0.3">
      <c r="A14" t="s">
        <v>18</v>
      </c>
      <c r="B14" t="s">
        <v>14</v>
      </c>
    </row>
    <row r="15" spans="1:3" x14ac:dyDescent="0.3">
      <c r="A15" t="s">
        <v>39</v>
      </c>
      <c r="B15" t="s">
        <v>14</v>
      </c>
      <c r="C15" t="s">
        <v>15</v>
      </c>
    </row>
    <row r="16" spans="1:3" x14ac:dyDescent="0.3">
      <c r="A16" t="s">
        <v>40</v>
      </c>
      <c r="B16" t="s">
        <v>14</v>
      </c>
    </row>
    <row r="17" spans="1:2" x14ac:dyDescent="0.3">
      <c r="A17" t="s">
        <v>24</v>
      </c>
      <c r="B17" t="s">
        <v>14</v>
      </c>
    </row>
    <row r="18" spans="1:2" x14ac:dyDescent="0.3">
      <c r="A18" t="s">
        <v>12</v>
      </c>
      <c r="B18" t="s">
        <v>14</v>
      </c>
    </row>
    <row r="19" spans="1:2" x14ac:dyDescent="0.3">
      <c r="A19" s="2" t="s">
        <v>46</v>
      </c>
      <c r="B19" t="s">
        <v>15</v>
      </c>
    </row>
    <row r="20" spans="1:2" x14ac:dyDescent="0.3">
      <c r="A20" s="2" t="s">
        <v>4</v>
      </c>
      <c r="B20" t="s">
        <v>15</v>
      </c>
    </row>
    <row r="21" spans="1:2" x14ac:dyDescent="0.3">
      <c r="A21" s="2" t="s">
        <v>23</v>
      </c>
      <c r="B21" t="s">
        <v>15</v>
      </c>
    </row>
    <row r="22" spans="1:2" x14ac:dyDescent="0.3">
      <c r="A22" s="8" t="s">
        <v>71</v>
      </c>
      <c r="B22" s="8" t="s">
        <v>15</v>
      </c>
    </row>
    <row r="23" spans="1:2" x14ac:dyDescent="0.3">
      <c r="A23" s="8" t="s">
        <v>43</v>
      </c>
      <c r="B23" s="8" t="s">
        <v>15</v>
      </c>
    </row>
    <row r="24" spans="1:2" x14ac:dyDescent="0.3">
      <c r="A24" s="8" t="s">
        <v>44</v>
      </c>
      <c r="B24" s="8" t="s">
        <v>15</v>
      </c>
    </row>
    <row r="25" spans="1:2" x14ac:dyDescent="0.3">
      <c r="A25" s="8" t="s">
        <v>45</v>
      </c>
      <c r="B25" s="8" t="s">
        <v>15</v>
      </c>
    </row>
    <row r="26" spans="1:2" x14ac:dyDescent="0.3">
      <c r="A26" s="8" t="s">
        <v>47</v>
      </c>
      <c r="B26" s="8" t="s">
        <v>15</v>
      </c>
    </row>
    <row r="27" spans="1:2" x14ac:dyDescent="0.3">
      <c r="A27" t="s">
        <v>26</v>
      </c>
      <c r="B27" t="s">
        <v>21</v>
      </c>
    </row>
    <row r="28" spans="1:2" x14ac:dyDescent="0.3">
      <c r="A28" t="s">
        <v>17</v>
      </c>
      <c r="B28" t="s">
        <v>13</v>
      </c>
    </row>
    <row r="29" spans="1:2" x14ac:dyDescent="0.3">
      <c r="A29" t="s">
        <v>31</v>
      </c>
      <c r="B29" t="s">
        <v>13</v>
      </c>
    </row>
    <row r="30" spans="1:2" x14ac:dyDescent="0.3">
      <c r="A30" t="s">
        <v>22</v>
      </c>
      <c r="B30" t="s">
        <v>16</v>
      </c>
    </row>
    <row r="31" spans="1:2" x14ac:dyDescent="0.3">
      <c r="A31" s="1" t="s">
        <v>41</v>
      </c>
      <c r="B31" s="1" t="s">
        <v>16</v>
      </c>
    </row>
    <row r="32" spans="1:2" x14ac:dyDescent="0.3">
      <c r="A32" t="s">
        <v>20</v>
      </c>
      <c r="B32" t="s">
        <v>21</v>
      </c>
    </row>
    <row r="33" spans="1:4" x14ac:dyDescent="0.3">
      <c r="A33" t="s">
        <v>35</v>
      </c>
      <c r="B33" t="s">
        <v>21</v>
      </c>
      <c r="C33" t="s">
        <v>27</v>
      </c>
    </row>
    <row r="34" spans="1:4" x14ac:dyDescent="0.3">
      <c r="A34" t="s">
        <v>9</v>
      </c>
      <c r="B34" t="s">
        <v>19</v>
      </c>
    </row>
    <row r="35" spans="1:4" x14ac:dyDescent="0.3">
      <c r="A35" t="s">
        <v>1</v>
      </c>
      <c r="B35" t="s">
        <v>27</v>
      </c>
    </row>
    <row r="36" spans="1:4" x14ac:dyDescent="0.3">
      <c r="A36" t="s">
        <v>28</v>
      </c>
      <c r="B36" t="s">
        <v>27</v>
      </c>
    </row>
    <row r="37" spans="1:4" x14ac:dyDescent="0.3">
      <c r="A37" t="s">
        <v>37</v>
      </c>
      <c r="B37" t="s">
        <v>36</v>
      </c>
      <c r="D37" t="s">
        <v>38</v>
      </c>
    </row>
    <row r="38" spans="1:4" x14ac:dyDescent="0.3">
      <c r="A38" t="s">
        <v>93</v>
      </c>
    </row>
    <row r="42" spans="1:4" x14ac:dyDescent="0.3">
      <c r="A42" t="s">
        <v>29</v>
      </c>
      <c r="B42" t="s">
        <v>13</v>
      </c>
      <c r="D42" t="s">
        <v>30</v>
      </c>
    </row>
    <row r="43" spans="1:4" x14ac:dyDescent="0.3">
      <c r="A43" t="s">
        <v>48</v>
      </c>
      <c r="B43" t="s">
        <v>13</v>
      </c>
    </row>
    <row r="44" spans="1:4" x14ac:dyDescent="0.3">
      <c r="A44" t="s">
        <v>32</v>
      </c>
      <c r="B44" t="s">
        <v>13</v>
      </c>
    </row>
    <row r="45" spans="1:4" x14ac:dyDescent="0.3">
      <c r="A45" t="s">
        <v>34</v>
      </c>
      <c r="B45" t="s">
        <v>33</v>
      </c>
    </row>
    <row r="46" spans="1:4" x14ac:dyDescent="0.3">
      <c r="A46" t="s">
        <v>42</v>
      </c>
      <c r="B46" t="s">
        <v>13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38CC7-E205-4D8E-B2BB-1ED9DBB12948}">
  <sheetPr>
    <tabColor rgb="FF92D050"/>
  </sheetPr>
  <dimension ref="A1:B14"/>
  <sheetViews>
    <sheetView workbookViewId="0">
      <selection activeCell="B2" sqref="B2:B12"/>
    </sheetView>
  </sheetViews>
  <sheetFormatPr baseColWidth="10" defaultRowHeight="14.4" x14ac:dyDescent="0.3"/>
  <cols>
    <col min="1" max="1" width="34" bestFit="1" customWidth="1"/>
    <col min="2" max="2" width="12.88671875" bestFit="1" customWidth="1"/>
  </cols>
  <sheetData>
    <row r="1" spans="1:2" x14ac:dyDescent="0.3">
      <c r="A1" t="s">
        <v>803</v>
      </c>
    </row>
    <row r="2" spans="1:2" x14ac:dyDescent="0.3">
      <c r="A2" s="67" t="s">
        <v>680</v>
      </c>
      <c r="B2" s="197">
        <v>15000</v>
      </c>
    </row>
    <row r="3" spans="1:2" x14ac:dyDescent="0.3">
      <c r="A3" s="196" t="s">
        <v>681</v>
      </c>
      <c r="B3" s="125">
        <v>20000</v>
      </c>
    </row>
    <row r="4" spans="1:2" x14ac:dyDescent="0.3">
      <c r="A4" s="196" t="s">
        <v>682</v>
      </c>
      <c r="B4" s="197">
        <v>25000</v>
      </c>
    </row>
    <row r="5" spans="1:2" x14ac:dyDescent="0.3">
      <c r="A5" s="67" t="s">
        <v>683</v>
      </c>
      <c r="B5" s="125">
        <v>20000</v>
      </c>
    </row>
    <row r="6" spans="1:2" x14ac:dyDescent="0.3">
      <c r="A6" s="67" t="s">
        <v>684</v>
      </c>
      <c r="B6" s="197">
        <v>30000</v>
      </c>
    </row>
    <row r="7" spans="1:2" x14ac:dyDescent="0.3">
      <c r="A7" s="184" t="s">
        <v>685</v>
      </c>
      <c r="B7" s="125">
        <v>35000</v>
      </c>
    </row>
    <row r="8" spans="1:2" x14ac:dyDescent="0.3">
      <c r="A8" s="184" t="s">
        <v>686</v>
      </c>
      <c r="B8" s="197">
        <v>25000</v>
      </c>
    </row>
    <row r="9" spans="1:2" x14ac:dyDescent="0.3">
      <c r="A9" s="184" t="s">
        <v>92</v>
      </c>
      <c r="B9" s="125">
        <v>20000</v>
      </c>
    </row>
    <row r="10" spans="1:2" x14ac:dyDescent="0.3">
      <c r="A10" s="184" t="s">
        <v>687</v>
      </c>
      <c r="B10" s="197">
        <v>15000</v>
      </c>
    </row>
    <row r="11" spans="1:2" x14ac:dyDescent="0.3">
      <c r="A11" s="184" t="s">
        <v>768</v>
      </c>
      <c r="B11" s="125">
        <v>15000</v>
      </c>
    </row>
    <row r="12" spans="1:2" x14ac:dyDescent="0.3">
      <c r="A12" s="184" t="s">
        <v>688</v>
      </c>
      <c r="B12" s="197">
        <v>20000</v>
      </c>
    </row>
    <row r="13" spans="1:2" x14ac:dyDescent="0.3">
      <c r="A13" s="67" t="s">
        <v>769</v>
      </c>
    </row>
    <row r="14" spans="1:2" x14ac:dyDescent="0.3">
      <c r="A14" s="67" t="s">
        <v>800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18930-ADA3-4893-8793-1C1582533B6E}">
  <sheetPr>
    <tabColor rgb="FF92D050"/>
  </sheetPr>
  <dimension ref="A1:XFC186"/>
  <sheetViews>
    <sheetView showGridLines="0" topLeftCell="A102" zoomScale="64" zoomScaleNormal="100" workbookViewId="0">
      <selection activeCell="B19" sqref="B18:B19"/>
    </sheetView>
  </sheetViews>
  <sheetFormatPr baseColWidth="10" defaultColWidth="0" defaultRowHeight="14.4" zeroHeight="1" x14ac:dyDescent="0.3"/>
  <cols>
    <col min="1" max="1" width="5.88671875" customWidth="1"/>
    <col min="2" max="2" width="12" style="29" bestFit="1" customWidth="1"/>
    <col min="3" max="3" width="13.88671875" style="29" customWidth="1"/>
    <col min="4" max="4" width="10.33203125" style="83" bestFit="1" customWidth="1"/>
    <col min="5" max="5" width="14.21875" style="29" bestFit="1" customWidth="1"/>
    <col min="6" max="6" width="13.5546875" style="29" customWidth="1"/>
    <col min="7" max="7" width="14.44140625" style="29" customWidth="1"/>
    <col min="8" max="8" width="14.44140625" style="151" customWidth="1"/>
    <col min="9" max="9" width="11.21875" style="29" customWidth="1"/>
    <col min="10" max="10" width="53.21875" customWidth="1"/>
    <col min="11" max="11" width="11.88671875" style="29" customWidth="1"/>
    <col min="12" max="12" width="24.77734375" customWidth="1"/>
    <col min="13" max="13" width="14.33203125" style="86" customWidth="1"/>
    <col min="14" max="14" width="17" style="86" customWidth="1"/>
    <col min="15" max="15" width="13.88671875" style="89" customWidth="1"/>
    <col min="16" max="16" width="14.6640625" style="86" bestFit="1" customWidth="1"/>
    <col min="17" max="17" width="25.21875" style="29" customWidth="1"/>
    <col min="18" max="18" width="8.77734375" style="29" customWidth="1"/>
    <col min="19" max="19" width="11.21875" style="29" customWidth="1"/>
    <col min="20" max="20" width="11.109375" style="29" customWidth="1"/>
    <col min="21" max="21" width="13.5546875" style="29" customWidth="1"/>
    <col min="22" max="22" width="11.44140625" style="190" customWidth="1"/>
    <col min="23" max="23" width="11.6640625" style="29" customWidth="1"/>
    <col min="24" max="24" width="18.6640625" style="29" bestFit="1" customWidth="1"/>
    <col min="25" max="31" width="0" hidden="1" customWidth="1"/>
    <col min="32" max="16383" width="11.44140625" hidden="1"/>
    <col min="16384" max="16384" width="66.6640625" customWidth="1"/>
  </cols>
  <sheetData>
    <row r="1" spans="1:24" x14ac:dyDescent="0.3">
      <c r="I1" s="29" t="s">
        <v>527</v>
      </c>
      <c r="J1" s="29">
        <v>8.3000000000000007</v>
      </c>
      <c r="M1" s="255" t="s">
        <v>374</v>
      </c>
      <c r="N1" s="255"/>
      <c r="O1" s="255" t="s">
        <v>67</v>
      </c>
      <c r="P1" s="255"/>
    </row>
    <row r="2" spans="1:24" s="29" customFormat="1" x14ac:dyDescent="0.3">
      <c r="A2" s="116" t="s">
        <v>672</v>
      </c>
      <c r="B2" s="97" t="s">
        <v>520</v>
      </c>
      <c r="C2" s="98" t="s">
        <v>368</v>
      </c>
      <c r="D2" s="99" t="s">
        <v>375</v>
      </c>
      <c r="E2" s="98" t="s">
        <v>376</v>
      </c>
      <c r="F2" s="98" t="s">
        <v>332</v>
      </c>
      <c r="G2" s="98" t="s">
        <v>377</v>
      </c>
      <c r="H2" s="152" t="s">
        <v>678</v>
      </c>
      <c r="I2" s="98" t="s">
        <v>378</v>
      </c>
      <c r="J2" s="98" t="s">
        <v>62</v>
      </c>
      <c r="K2" s="98" t="s">
        <v>540</v>
      </c>
      <c r="L2" s="98" t="s">
        <v>539</v>
      </c>
      <c r="M2" s="100" t="s">
        <v>253</v>
      </c>
      <c r="N2" s="100" t="s">
        <v>541</v>
      </c>
      <c r="O2" s="100" t="s">
        <v>63</v>
      </c>
      <c r="P2" s="100" t="s">
        <v>1009</v>
      </c>
      <c r="Q2" s="98" t="s">
        <v>379</v>
      </c>
      <c r="R2" s="98" t="s">
        <v>244</v>
      </c>
      <c r="S2" s="98" t="s">
        <v>362</v>
      </c>
      <c r="T2" s="98" t="s">
        <v>50</v>
      </c>
      <c r="U2" s="98" t="s">
        <v>633</v>
      </c>
      <c r="V2" s="199" t="s">
        <v>979</v>
      </c>
      <c r="W2" s="109" t="s">
        <v>542</v>
      </c>
      <c r="X2" s="101" t="s">
        <v>521</v>
      </c>
    </row>
    <row r="3" spans="1:24" x14ac:dyDescent="0.3">
      <c r="A3" s="30" t="s">
        <v>810</v>
      </c>
      <c r="B3" s="95" t="str">
        <f>+""</f>
        <v/>
      </c>
      <c r="C3" s="30">
        <v>2022</v>
      </c>
      <c r="D3" s="107">
        <v>44680</v>
      </c>
      <c r="E3" s="30" t="s">
        <v>380</v>
      </c>
      <c r="F3" s="30"/>
      <c r="G3" s="30" t="s">
        <v>381</v>
      </c>
      <c r="H3" s="107"/>
      <c r="I3" s="30"/>
      <c r="J3" s="73" t="s">
        <v>382</v>
      </c>
      <c r="K3" s="30">
        <v>1</v>
      </c>
      <c r="L3" s="73" t="s">
        <v>383</v>
      </c>
      <c r="M3" s="74">
        <v>7490</v>
      </c>
      <c r="N3" s="74">
        <v>14980</v>
      </c>
      <c r="O3" s="88" t="s">
        <v>525</v>
      </c>
      <c r="P3" s="74">
        <f t="shared" ref="P3:P34" si="0">IF(O3="SOL",M3,M3*$J$1)</f>
        <v>7490</v>
      </c>
      <c r="Q3" s="30" t="s">
        <v>384</v>
      </c>
      <c r="R3" s="30" t="s">
        <v>239</v>
      </c>
      <c r="S3" s="30" t="s">
        <v>15</v>
      </c>
      <c r="T3" s="30" t="s">
        <v>385</v>
      </c>
      <c r="U3" s="30"/>
      <c r="V3" s="107">
        <v>44652</v>
      </c>
      <c r="W3" s="107">
        <f>Tabla2[[#This Row],[Fecha]]-DAY(Tabla2[[#This Row],[Fecha]])+1</f>
        <v>44652</v>
      </c>
      <c r="X3" s="96"/>
    </row>
    <row r="4" spans="1:24" x14ac:dyDescent="0.3">
      <c r="A4" s="30" t="s">
        <v>811</v>
      </c>
      <c r="B4" s="95" t="str">
        <f>+""</f>
        <v/>
      </c>
      <c r="C4" s="30">
        <v>2022</v>
      </c>
      <c r="D4" s="107">
        <v>44778</v>
      </c>
      <c r="E4" s="30" t="s">
        <v>380</v>
      </c>
      <c r="F4" s="30"/>
      <c r="G4" s="30" t="s">
        <v>386</v>
      </c>
      <c r="H4" s="107"/>
      <c r="I4" s="30"/>
      <c r="J4" s="73" t="s">
        <v>382</v>
      </c>
      <c r="K4" s="30">
        <v>2</v>
      </c>
      <c r="L4" s="73" t="s">
        <v>387</v>
      </c>
      <c r="M4" s="74">
        <v>5243</v>
      </c>
      <c r="N4" s="74">
        <v>14980</v>
      </c>
      <c r="O4" s="88" t="s">
        <v>525</v>
      </c>
      <c r="P4" s="74">
        <f t="shared" si="0"/>
        <v>5243</v>
      </c>
      <c r="Q4" s="30" t="s">
        <v>384</v>
      </c>
      <c r="R4" s="30" t="s">
        <v>239</v>
      </c>
      <c r="S4" s="30" t="s">
        <v>15</v>
      </c>
      <c r="T4" s="30" t="s">
        <v>385</v>
      </c>
      <c r="U4" s="30"/>
      <c r="V4" s="107">
        <v>44774</v>
      </c>
      <c r="W4" s="107">
        <f>Tabla2[[#This Row],[Fecha]]-DAY(Tabla2[[#This Row],[Fecha]])+1</f>
        <v>44774</v>
      </c>
      <c r="X4" s="96"/>
    </row>
    <row r="5" spans="1:24" x14ac:dyDescent="0.3">
      <c r="A5" s="30" t="s">
        <v>812</v>
      </c>
      <c r="B5" s="95" t="str">
        <f>+""</f>
        <v/>
      </c>
      <c r="C5" s="30">
        <v>2022</v>
      </c>
      <c r="D5" s="107">
        <v>44852</v>
      </c>
      <c r="E5" s="30" t="s">
        <v>367</v>
      </c>
      <c r="F5" s="30"/>
      <c r="G5" s="30" t="s">
        <v>388</v>
      </c>
      <c r="H5" s="107"/>
      <c r="I5" s="30"/>
      <c r="J5" s="73" t="s">
        <v>389</v>
      </c>
      <c r="K5" s="30">
        <v>1</v>
      </c>
      <c r="L5" s="73" t="s">
        <v>390</v>
      </c>
      <c r="M5" s="74">
        <v>2320</v>
      </c>
      <c r="N5" s="74">
        <v>2320</v>
      </c>
      <c r="O5" s="88" t="s">
        <v>525</v>
      </c>
      <c r="P5" s="74">
        <f t="shared" si="0"/>
        <v>2320</v>
      </c>
      <c r="Q5" s="30" t="s">
        <v>384</v>
      </c>
      <c r="R5" s="30" t="s">
        <v>238</v>
      </c>
      <c r="S5" s="30" t="s">
        <v>19</v>
      </c>
      <c r="T5" s="30" t="s">
        <v>385</v>
      </c>
      <c r="U5" s="30"/>
      <c r="V5" s="107">
        <v>44835</v>
      </c>
      <c r="W5" s="107">
        <f>Tabla2[[#This Row],[Fecha]]-DAY(Tabla2[[#This Row],[Fecha]])+1</f>
        <v>44835</v>
      </c>
      <c r="X5" s="96"/>
    </row>
    <row r="6" spans="1:24" x14ac:dyDescent="0.3">
      <c r="A6" s="30" t="s">
        <v>813</v>
      </c>
      <c r="B6" s="95" t="str">
        <f>+""</f>
        <v/>
      </c>
      <c r="C6" s="30">
        <v>2022</v>
      </c>
      <c r="D6" s="107">
        <v>44852</v>
      </c>
      <c r="E6" s="30" t="s">
        <v>367</v>
      </c>
      <c r="F6" s="30" t="s">
        <v>391</v>
      </c>
      <c r="G6" s="30" t="s">
        <v>392</v>
      </c>
      <c r="H6" s="107"/>
      <c r="I6" s="30"/>
      <c r="J6" s="73" t="s">
        <v>393</v>
      </c>
      <c r="K6" s="30">
        <v>1</v>
      </c>
      <c r="L6" s="73" t="s">
        <v>394</v>
      </c>
      <c r="M6" s="74">
        <v>2412</v>
      </c>
      <c r="N6" s="74">
        <v>8040</v>
      </c>
      <c r="O6" s="88" t="s">
        <v>525</v>
      </c>
      <c r="P6" s="74">
        <f t="shared" si="0"/>
        <v>2412</v>
      </c>
      <c r="Q6" s="30" t="s">
        <v>384</v>
      </c>
      <c r="R6" s="30" t="s">
        <v>238</v>
      </c>
      <c r="S6" s="30" t="s">
        <v>21</v>
      </c>
      <c r="T6" s="30" t="s">
        <v>385</v>
      </c>
      <c r="U6" s="30"/>
      <c r="V6" s="107">
        <v>44835</v>
      </c>
      <c r="W6" s="107">
        <f>Tabla2[[#This Row],[Fecha]]-DAY(Tabla2[[#This Row],[Fecha]])+1</f>
        <v>44835</v>
      </c>
      <c r="X6" s="96"/>
    </row>
    <row r="7" spans="1:24" x14ac:dyDescent="0.3">
      <c r="A7" s="30" t="s">
        <v>814</v>
      </c>
      <c r="B7" s="95" t="str">
        <f>+""</f>
        <v/>
      </c>
      <c r="C7" s="30">
        <v>2022</v>
      </c>
      <c r="D7" s="107">
        <v>44879</v>
      </c>
      <c r="E7" s="30" t="s">
        <v>395</v>
      </c>
      <c r="F7" s="30" t="s">
        <v>396</v>
      </c>
      <c r="G7" s="30" t="s">
        <v>397</v>
      </c>
      <c r="H7" s="107"/>
      <c r="I7" s="30"/>
      <c r="J7" s="73" t="s">
        <v>398</v>
      </c>
      <c r="K7" s="30">
        <v>1</v>
      </c>
      <c r="L7" s="73" t="s">
        <v>390</v>
      </c>
      <c r="M7" s="74">
        <v>4515</v>
      </c>
      <c r="N7" s="74">
        <v>4145</v>
      </c>
      <c r="O7" s="88" t="s">
        <v>525</v>
      </c>
      <c r="P7" s="74">
        <f t="shared" si="0"/>
        <v>4515</v>
      </c>
      <c r="Q7" s="30" t="s">
        <v>384</v>
      </c>
      <c r="R7" s="30" t="s">
        <v>238</v>
      </c>
      <c r="S7" s="30" t="s">
        <v>21</v>
      </c>
      <c r="T7" s="30" t="s">
        <v>385</v>
      </c>
      <c r="U7" s="30"/>
      <c r="V7" s="107">
        <v>44866</v>
      </c>
      <c r="W7" s="107">
        <f>Tabla2[[#This Row],[Fecha]]-DAY(Tabla2[[#This Row],[Fecha]])+1</f>
        <v>44866</v>
      </c>
      <c r="X7" s="96"/>
    </row>
    <row r="8" spans="1:24" x14ac:dyDescent="0.3">
      <c r="A8" s="30" t="s">
        <v>815</v>
      </c>
      <c r="B8" s="95" t="str">
        <f>+""</f>
        <v/>
      </c>
      <c r="C8" s="30">
        <v>2022</v>
      </c>
      <c r="D8" s="107">
        <v>44879</v>
      </c>
      <c r="E8" s="30" t="s">
        <v>395</v>
      </c>
      <c r="F8" s="30" t="s">
        <v>396</v>
      </c>
      <c r="G8" s="30" t="s">
        <v>399</v>
      </c>
      <c r="H8" s="107"/>
      <c r="I8" s="30"/>
      <c r="J8" s="73" t="s">
        <v>400</v>
      </c>
      <c r="K8" s="30">
        <v>1</v>
      </c>
      <c r="L8" s="73" t="s">
        <v>390</v>
      </c>
      <c r="M8" s="74">
        <v>370</v>
      </c>
      <c r="N8" s="74">
        <v>370</v>
      </c>
      <c r="O8" s="88" t="s">
        <v>525</v>
      </c>
      <c r="P8" s="74">
        <f t="shared" si="0"/>
        <v>370</v>
      </c>
      <c r="Q8" s="30" t="s">
        <v>321</v>
      </c>
      <c r="R8" s="30" t="s">
        <v>238</v>
      </c>
      <c r="S8" s="30" t="s">
        <v>21</v>
      </c>
      <c r="T8" s="30" t="s">
        <v>385</v>
      </c>
      <c r="U8" s="30"/>
      <c r="V8" s="107">
        <v>44866</v>
      </c>
      <c r="W8" s="107">
        <f>Tabla2[[#This Row],[Fecha]]-DAY(Tabla2[[#This Row],[Fecha]])+1</f>
        <v>44866</v>
      </c>
      <c r="X8" s="96"/>
    </row>
    <row r="9" spans="1:24" x14ac:dyDescent="0.3">
      <c r="A9" s="30" t="s">
        <v>816</v>
      </c>
      <c r="B9" s="95" t="str">
        <f>+""</f>
        <v/>
      </c>
      <c r="C9" s="30">
        <v>2022</v>
      </c>
      <c r="D9" s="107">
        <v>44886</v>
      </c>
      <c r="E9" s="30" t="s">
        <v>380</v>
      </c>
      <c r="F9" s="30"/>
      <c r="G9" s="30" t="s">
        <v>401</v>
      </c>
      <c r="H9" s="107"/>
      <c r="I9" s="30"/>
      <c r="J9" s="73" t="s">
        <v>382</v>
      </c>
      <c r="K9" s="30">
        <v>3</v>
      </c>
      <c r="L9" s="73" t="s">
        <v>402</v>
      </c>
      <c r="M9" s="74">
        <v>2247</v>
      </c>
      <c r="N9" s="74">
        <v>14980</v>
      </c>
      <c r="O9" s="88" t="s">
        <v>525</v>
      </c>
      <c r="P9" s="74">
        <f t="shared" si="0"/>
        <v>2247</v>
      </c>
      <c r="Q9" s="30" t="s">
        <v>384</v>
      </c>
      <c r="R9" s="30" t="s">
        <v>239</v>
      </c>
      <c r="S9" s="30" t="s">
        <v>15</v>
      </c>
      <c r="T9" s="30" t="s">
        <v>385</v>
      </c>
      <c r="U9" s="30"/>
      <c r="V9" s="107">
        <v>44866</v>
      </c>
      <c r="W9" s="107">
        <f>Tabla2[[#This Row],[Fecha]]-DAY(Tabla2[[#This Row],[Fecha]])+1</f>
        <v>44866</v>
      </c>
      <c r="X9" s="96"/>
    </row>
    <row r="10" spans="1:24" x14ac:dyDescent="0.3">
      <c r="A10" s="30" t="s">
        <v>817</v>
      </c>
      <c r="B10" s="95" t="str">
        <f>+""</f>
        <v/>
      </c>
      <c r="C10" s="30">
        <v>2022</v>
      </c>
      <c r="D10" s="107">
        <v>44887</v>
      </c>
      <c r="E10" s="30" t="s">
        <v>367</v>
      </c>
      <c r="F10" s="30"/>
      <c r="G10" s="30" t="s">
        <v>403</v>
      </c>
      <c r="H10" s="107"/>
      <c r="I10" s="30"/>
      <c r="J10" s="73" t="s">
        <v>404</v>
      </c>
      <c r="K10" s="30"/>
      <c r="L10" s="73" t="s">
        <v>405</v>
      </c>
      <c r="M10" s="74">
        <v>4600</v>
      </c>
      <c r="N10" s="74">
        <v>55200</v>
      </c>
      <c r="O10" s="88" t="s">
        <v>525</v>
      </c>
      <c r="P10" s="74">
        <f t="shared" si="0"/>
        <v>4600</v>
      </c>
      <c r="Q10" s="30" t="s">
        <v>321</v>
      </c>
      <c r="R10" s="30" t="s">
        <v>238</v>
      </c>
      <c r="S10" s="30" t="s">
        <v>243</v>
      </c>
      <c r="T10" s="30" t="s">
        <v>385</v>
      </c>
      <c r="U10" s="30"/>
      <c r="V10" s="107">
        <v>44866</v>
      </c>
      <c r="W10" s="107">
        <f>Tabla2[[#This Row],[Fecha]]-DAY(Tabla2[[#This Row],[Fecha]])+1</f>
        <v>44866</v>
      </c>
      <c r="X10" s="96"/>
    </row>
    <row r="11" spans="1:24" x14ac:dyDescent="0.3">
      <c r="A11" s="30" t="s">
        <v>818</v>
      </c>
      <c r="B11" s="95" t="str">
        <f>+""</f>
        <v/>
      </c>
      <c r="C11" s="30">
        <v>2022</v>
      </c>
      <c r="D11" s="107">
        <v>44887</v>
      </c>
      <c r="E11" s="30" t="s">
        <v>367</v>
      </c>
      <c r="F11" s="30"/>
      <c r="G11" s="30" t="s">
        <v>406</v>
      </c>
      <c r="H11" s="107"/>
      <c r="I11" s="30"/>
      <c r="J11" s="73" t="s">
        <v>389</v>
      </c>
      <c r="K11" s="30"/>
      <c r="L11" s="73" t="s">
        <v>407</v>
      </c>
      <c r="M11" s="74">
        <v>960</v>
      </c>
      <c r="N11" s="74">
        <v>2320</v>
      </c>
      <c r="O11" s="88" t="s">
        <v>525</v>
      </c>
      <c r="P11" s="74">
        <f t="shared" si="0"/>
        <v>960</v>
      </c>
      <c r="Q11" s="30" t="s">
        <v>384</v>
      </c>
      <c r="R11" s="30" t="s">
        <v>238</v>
      </c>
      <c r="S11" s="30" t="s">
        <v>19</v>
      </c>
      <c r="T11" s="30" t="s">
        <v>385</v>
      </c>
      <c r="U11" s="30"/>
      <c r="V11" s="107">
        <v>44866</v>
      </c>
      <c r="W11" s="107">
        <f>Tabla2[[#This Row],[Fecha]]-DAY(Tabla2[[#This Row],[Fecha]])+1</f>
        <v>44866</v>
      </c>
      <c r="X11" s="96"/>
    </row>
    <row r="12" spans="1:24" x14ac:dyDescent="0.3">
      <c r="A12" s="30" t="s">
        <v>819</v>
      </c>
      <c r="B12" s="95" t="str">
        <f>+""</f>
        <v/>
      </c>
      <c r="C12" s="30">
        <v>2022</v>
      </c>
      <c r="D12" s="107">
        <v>44887</v>
      </c>
      <c r="E12" s="30" t="s">
        <v>367</v>
      </c>
      <c r="F12" s="30" t="s">
        <v>408</v>
      </c>
      <c r="G12" s="30" t="s">
        <v>409</v>
      </c>
      <c r="H12" s="107"/>
      <c r="I12" s="30"/>
      <c r="J12" s="73" t="s">
        <v>410</v>
      </c>
      <c r="K12" s="30">
        <v>1</v>
      </c>
      <c r="L12" s="73" t="s">
        <v>390</v>
      </c>
      <c r="M12" s="74">
        <v>2420</v>
      </c>
      <c r="N12" s="74">
        <v>2420</v>
      </c>
      <c r="O12" s="88" t="s">
        <v>525</v>
      </c>
      <c r="P12" s="74">
        <f t="shared" si="0"/>
        <v>2420</v>
      </c>
      <c r="Q12" s="30" t="s">
        <v>384</v>
      </c>
      <c r="R12" s="30" t="s">
        <v>238</v>
      </c>
      <c r="S12" s="30" t="s">
        <v>243</v>
      </c>
      <c r="T12" s="30" t="s">
        <v>385</v>
      </c>
      <c r="U12" s="30"/>
      <c r="V12" s="107">
        <v>44866</v>
      </c>
      <c r="W12" s="107">
        <f>Tabla2[[#This Row],[Fecha]]-DAY(Tabla2[[#This Row],[Fecha]])+1</f>
        <v>44866</v>
      </c>
      <c r="X12" s="96"/>
    </row>
    <row r="13" spans="1:24" x14ac:dyDescent="0.3">
      <c r="A13" s="30" t="s">
        <v>820</v>
      </c>
      <c r="B13" s="95" t="str">
        <f>+""</f>
        <v/>
      </c>
      <c r="C13" s="30">
        <v>2022</v>
      </c>
      <c r="D13" s="107">
        <v>44887</v>
      </c>
      <c r="E13" s="30" t="s">
        <v>367</v>
      </c>
      <c r="F13" s="30" t="s">
        <v>391</v>
      </c>
      <c r="G13" s="30" t="s">
        <v>411</v>
      </c>
      <c r="H13" s="107"/>
      <c r="I13" s="30"/>
      <c r="J13" s="73" t="s">
        <v>393</v>
      </c>
      <c r="K13" s="30">
        <v>2</v>
      </c>
      <c r="L13" s="73" t="s">
        <v>412</v>
      </c>
      <c r="M13" s="74">
        <v>2814</v>
      </c>
      <c r="N13" s="74">
        <v>8040</v>
      </c>
      <c r="O13" s="88" t="s">
        <v>525</v>
      </c>
      <c r="P13" s="74">
        <f t="shared" si="0"/>
        <v>2814</v>
      </c>
      <c r="Q13" s="30" t="s">
        <v>384</v>
      </c>
      <c r="R13" s="30" t="s">
        <v>238</v>
      </c>
      <c r="S13" s="30" t="s">
        <v>21</v>
      </c>
      <c r="T13" s="30" t="s">
        <v>385</v>
      </c>
      <c r="U13" s="30"/>
      <c r="V13" s="107">
        <v>44866</v>
      </c>
      <c r="W13" s="107">
        <f>Tabla2[[#This Row],[Fecha]]-DAY(Tabla2[[#This Row],[Fecha]])+1</f>
        <v>44866</v>
      </c>
      <c r="X13" s="96"/>
    </row>
    <row r="14" spans="1:24" x14ac:dyDescent="0.3">
      <c r="A14" s="30" t="s">
        <v>821</v>
      </c>
      <c r="B14" s="95" t="str">
        <f>+""</f>
        <v/>
      </c>
      <c r="C14" s="30">
        <v>2022</v>
      </c>
      <c r="D14" s="107">
        <v>44887</v>
      </c>
      <c r="E14" s="30" t="s">
        <v>367</v>
      </c>
      <c r="F14" s="30" t="s">
        <v>413</v>
      </c>
      <c r="G14" s="30" t="s">
        <v>414</v>
      </c>
      <c r="H14" s="107"/>
      <c r="I14" s="30"/>
      <c r="J14" s="73" t="s">
        <v>415</v>
      </c>
      <c r="K14" s="30">
        <v>1</v>
      </c>
      <c r="L14" s="73" t="s">
        <v>416</v>
      </c>
      <c r="M14" s="74">
        <v>3210</v>
      </c>
      <c r="N14" s="74">
        <v>10700</v>
      </c>
      <c r="O14" s="88" t="s">
        <v>525</v>
      </c>
      <c r="P14" s="74">
        <f t="shared" si="0"/>
        <v>3210</v>
      </c>
      <c r="Q14" s="30" t="s">
        <v>384</v>
      </c>
      <c r="R14" s="30" t="s">
        <v>238</v>
      </c>
      <c r="S14" s="30" t="s">
        <v>19</v>
      </c>
      <c r="T14" s="30" t="s">
        <v>385</v>
      </c>
      <c r="U14" s="30"/>
      <c r="V14" s="107">
        <v>44866</v>
      </c>
      <c r="W14" s="107">
        <f>Tabla2[[#This Row],[Fecha]]-DAY(Tabla2[[#This Row],[Fecha]])+1</f>
        <v>44866</v>
      </c>
      <c r="X14" s="96"/>
    </row>
    <row r="15" spans="1:24" x14ac:dyDescent="0.3">
      <c r="A15" s="30" t="s">
        <v>822</v>
      </c>
      <c r="B15" s="95" t="str">
        <f>+""</f>
        <v/>
      </c>
      <c r="C15" s="30">
        <v>2022</v>
      </c>
      <c r="D15" s="107">
        <v>44910</v>
      </c>
      <c r="E15" s="30" t="s">
        <v>367</v>
      </c>
      <c r="F15" s="30"/>
      <c r="G15" s="30" t="s">
        <v>417</v>
      </c>
      <c r="H15" s="107"/>
      <c r="I15" s="30"/>
      <c r="J15" s="73" t="s">
        <v>404</v>
      </c>
      <c r="K15" s="30"/>
      <c r="L15" s="73" t="s">
        <v>418</v>
      </c>
      <c r="M15" s="74">
        <v>4600</v>
      </c>
      <c r="N15" s="74">
        <v>55200</v>
      </c>
      <c r="O15" s="88" t="s">
        <v>525</v>
      </c>
      <c r="P15" s="74">
        <f t="shared" si="0"/>
        <v>4600</v>
      </c>
      <c r="Q15" s="30" t="s">
        <v>321</v>
      </c>
      <c r="R15" s="30" t="s">
        <v>238</v>
      </c>
      <c r="S15" s="30" t="s">
        <v>243</v>
      </c>
      <c r="T15" s="30" t="s">
        <v>385</v>
      </c>
      <c r="U15" s="30"/>
      <c r="V15" s="107">
        <v>44896</v>
      </c>
      <c r="W15" s="107">
        <f>Tabla2[[#This Row],[Fecha]]-DAY(Tabla2[[#This Row],[Fecha]])+1</f>
        <v>44896</v>
      </c>
      <c r="X15" s="96"/>
    </row>
    <row r="16" spans="1:24" x14ac:dyDescent="0.3">
      <c r="A16" s="30" t="s">
        <v>823</v>
      </c>
      <c r="B16" s="95" t="str">
        <f>+""</f>
        <v/>
      </c>
      <c r="C16" s="30">
        <v>2022</v>
      </c>
      <c r="D16" s="107">
        <v>44910</v>
      </c>
      <c r="E16" s="30" t="s">
        <v>367</v>
      </c>
      <c r="F16" s="30" t="s">
        <v>391</v>
      </c>
      <c r="G16" s="30" t="s">
        <v>419</v>
      </c>
      <c r="H16" s="107"/>
      <c r="I16" s="30"/>
      <c r="J16" s="73" t="s">
        <v>393</v>
      </c>
      <c r="K16" s="30">
        <v>3</v>
      </c>
      <c r="L16" s="73" t="s">
        <v>420</v>
      </c>
      <c r="M16" s="74">
        <v>2814</v>
      </c>
      <c r="N16" s="74">
        <v>8040</v>
      </c>
      <c r="O16" s="88" t="s">
        <v>525</v>
      </c>
      <c r="P16" s="74">
        <f t="shared" si="0"/>
        <v>2814</v>
      </c>
      <c r="Q16" s="30" t="s">
        <v>384</v>
      </c>
      <c r="R16" s="30" t="s">
        <v>238</v>
      </c>
      <c r="S16" s="30" t="s">
        <v>21</v>
      </c>
      <c r="T16" s="30" t="s">
        <v>385</v>
      </c>
      <c r="U16" s="30"/>
      <c r="V16" s="107">
        <v>44896</v>
      </c>
      <c r="W16" s="107">
        <f>Tabla2[[#This Row],[Fecha]]-DAY(Tabla2[[#This Row],[Fecha]])+1</f>
        <v>44896</v>
      </c>
      <c r="X16" s="96"/>
    </row>
    <row r="17" spans="1:24" x14ac:dyDescent="0.3">
      <c r="A17" s="30" t="s">
        <v>824</v>
      </c>
      <c r="B17" s="95" t="str">
        <f>+""</f>
        <v/>
      </c>
      <c r="C17" s="30">
        <v>2022</v>
      </c>
      <c r="D17" s="107">
        <v>44910</v>
      </c>
      <c r="E17" s="30" t="s">
        <v>367</v>
      </c>
      <c r="F17" s="30" t="s">
        <v>413</v>
      </c>
      <c r="G17" s="30" t="s">
        <v>421</v>
      </c>
      <c r="H17" s="107"/>
      <c r="I17" s="30"/>
      <c r="J17" s="73" t="s">
        <v>415</v>
      </c>
      <c r="K17" s="30">
        <v>2</v>
      </c>
      <c r="L17" s="73" t="s">
        <v>422</v>
      </c>
      <c r="M17" s="74">
        <v>2496.67</v>
      </c>
      <c r="N17" s="74">
        <v>10700</v>
      </c>
      <c r="O17" s="88" t="s">
        <v>525</v>
      </c>
      <c r="P17" s="74">
        <f t="shared" si="0"/>
        <v>2496.67</v>
      </c>
      <c r="Q17" s="30" t="s">
        <v>384</v>
      </c>
      <c r="R17" s="30" t="s">
        <v>238</v>
      </c>
      <c r="S17" s="30" t="s">
        <v>19</v>
      </c>
      <c r="T17" s="30" t="s">
        <v>385</v>
      </c>
      <c r="U17" s="30"/>
      <c r="V17" s="107">
        <v>44896</v>
      </c>
      <c r="W17" s="107">
        <f>Tabla2[[#This Row],[Fecha]]-DAY(Tabla2[[#This Row],[Fecha]])+1</f>
        <v>44896</v>
      </c>
      <c r="X17" s="96"/>
    </row>
    <row r="18" spans="1:24" x14ac:dyDescent="0.3">
      <c r="A18" s="30" t="s">
        <v>825</v>
      </c>
      <c r="B18" s="95" t="str">
        <f>+""</f>
        <v/>
      </c>
      <c r="C18" s="30">
        <v>2022</v>
      </c>
      <c r="D18" s="107">
        <v>44910</v>
      </c>
      <c r="E18" s="30" t="s">
        <v>367</v>
      </c>
      <c r="F18" s="30" t="s">
        <v>423</v>
      </c>
      <c r="G18" s="30" t="s">
        <v>424</v>
      </c>
      <c r="H18" s="107"/>
      <c r="I18" s="30"/>
      <c r="J18" s="73" t="s">
        <v>425</v>
      </c>
      <c r="K18" s="30">
        <v>1</v>
      </c>
      <c r="L18" s="73" t="s">
        <v>390</v>
      </c>
      <c r="M18" s="74">
        <v>1780</v>
      </c>
      <c r="N18" s="74">
        <v>1780</v>
      </c>
      <c r="O18" s="88" t="s">
        <v>525</v>
      </c>
      <c r="P18" s="74">
        <f t="shared" si="0"/>
        <v>1780</v>
      </c>
      <c r="Q18" s="30" t="s">
        <v>384</v>
      </c>
      <c r="R18" s="30" t="s">
        <v>238</v>
      </c>
      <c r="S18" s="30" t="s">
        <v>16</v>
      </c>
      <c r="T18" s="30" t="s">
        <v>385</v>
      </c>
      <c r="U18" s="30"/>
      <c r="V18" s="107">
        <v>44896</v>
      </c>
      <c r="W18" s="107">
        <f>Tabla2[[#This Row],[Fecha]]-DAY(Tabla2[[#This Row],[Fecha]])+1</f>
        <v>44896</v>
      </c>
      <c r="X18" s="96"/>
    </row>
    <row r="19" spans="1:24" x14ac:dyDescent="0.3">
      <c r="A19" s="30" t="s">
        <v>826</v>
      </c>
      <c r="B19" s="95" t="str">
        <f>+""</f>
        <v/>
      </c>
      <c r="C19" s="30">
        <v>2022</v>
      </c>
      <c r="D19" s="107">
        <v>44910</v>
      </c>
      <c r="E19" s="30" t="s">
        <v>367</v>
      </c>
      <c r="F19" s="30" t="s">
        <v>426</v>
      </c>
      <c r="G19" s="30" t="s">
        <v>427</v>
      </c>
      <c r="H19" s="107"/>
      <c r="I19" s="30"/>
      <c r="J19" s="73" t="s">
        <v>428</v>
      </c>
      <c r="K19" s="30">
        <v>1</v>
      </c>
      <c r="L19" s="73" t="s">
        <v>416</v>
      </c>
      <c r="M19" s="74">
        <v>3000</v>
      </c>
      <c r="N19" s="74">
        <v>10000</v>
      </c>
      <c r="O19" s="88" t="s">
        <v>525</v>
      </c>
      <c r="P19" s="74">
        <f t="shared" si="0"/>
        <v>3000</v>
      </c>
      <c r="Q19" s="30" t="s">
        <v>384</v>
      </c>
      <c r="R19" s="30" t="s">
        <v>238</v>
      </c>
      <c r="S19" s="30" t="s">
        <v>21</v>
      </c>
      <c r="T19" s="30" t="s">
        <v>385</v>
      </c>
      <c r="U19" s="30"/>
      <c r="V19" s="107">
        <v>44896</v>
      </c>
      <c r="W19" s="107">
        <f>Tabla2[[#This Row],[Fecha]]-DAY(Tabla2[[#This Row],[Fecha]])+1</f>
        <v>44896</v>
      </c>
      <c r="X19" s="96"/>
    </row>
    <row r="20" spans="1:24" x14ac:dyDescent="0.3">
      <c r="A20" s="30" t="s">
        <v>827</v>
      </c>
      <c r="B20" s="95" t="str">
        <f>+""</f>
        <v/>
      </c>
      <c r="C20" s="30">
        <v>2022</v>
      </c>
      <c r="D20" s="107">
        <v>44911</v>
      </c>
      <c r="E20" s="30" t="s">
        <v>380</v>
      </c>
      <c r="F20" s="30" t="s">
        <v>429</v>
      </c>
      <c r="G20" s="30" t="s">
        <v>430</v>
      </c>
      <c r="H20" s="107"/>
      <c r="I20" s="30"/>
      <c r="J20" s="73" t="s">
        <v>431</v>
      </c>
      <c r="K20" s="30">
        <v>1</v>
      </c>
      <c r="L20" s="73" t="s">
        <v>390</v>
      </c>
      <c r="M20" s="74">
        <v>840</v>
      </c>
      <c r="N20" s="74">
        <v>840</v>
      </c>
      <c r="O20" s="88" t="s">
        <v>525</v>
      </c>
      <c r="P20" s="74">
        <f t="shared" si="0"/>
        <v>840</v>
      </c>
      <c r="Q20" s="30" t="s">
        <v>384</v>
      </c>
      <c r="R20" s="30" t="s">
        <v>238</v>
      </c>
      <c r="S20" s="30" t="s">
        <v>15</v>
      </c>
      <c r="T20" s="30" t="s">
        <v>385</v>
      </c>
      <c r="U20" s="30"/>
      <c r="V20" s="107">
        <v>44896</v>
      </c>
      <c r="W20" s="107">
        <f>Tabla2[[#This Row],[Fecha]]-DAY(Tabla2[[#This Row],[Fecha]])+1</f>
        <v>44896</v>
      </c>
      <c r="X20" s="96"/>
    </row>
    <row r="21" spans="1:24" x14ac:dyDescent="0.3">
      <c r="A21" s="30" t="s">
        <v>828</v>
      </c>
      <c r="B21" s="95" t="str">
        <f>+""</f>
        <v/>
      </c>
      <c r="C21" s="30">
        <v>2022</v>
      </c>
      <c r="D21" s="107">
        <v>44945</v>
      </c>
      <c r="E21" s="30" t="s">
        <v>367</v>
      </c>
      <c r="F21" s="30"/>
      <c r="G21" s="30" t="s">
        <v>432</v>
      </c>
      <c r="H21" s="107"/>
      <c r="I21" s="30"/>
      <c r="J21" s="73" t="s">
        <v>404</v>
      </c>
      <c r="K21" s="30"/>
      <c r="L21" s="73" t="s">
        <v>433</v>
      </c>
      <c r="M21" s="74">
        <v>4600</v>
      </c>
      <c r="N21" s="74">
        <v>55200</v>
      </c>
      <c r="O21" s="88" t="s">
        <v>525</v>
      </c>
      <c r="P21" s="74">
        <f t="shared" si="0"/>
        <v>4600</v>
      </c>
      <c r="Q21" s="30" t="s">
        <v>321</v>
      </c>
      <c r="R21" s="30" t="s">
        <v>238</v>
      </c>
      <c r="S21" s="30" t="s">
        <v>243</v>
      </c>
      <c r="T21" s="30" t="s">
        <v>385</v>
      </c>
      <c r="U21" s="30"/>
      <c r="V21" s="107">
        <v>44927</v>
      </c>
      <c r="W21" s="107">
        <f>Tabla2[[#This Row],[Fecha]]-DAY(Tabla2[[#This Row],[Fecha]])+1</f>
        <v>44927</v>
      </c>
      <c r="X21" s="96"/>
    </row>
    <row r="22" spans="1:24" x14ac:dyDescent="0.3">
      <c r="A22" s="30" t="s">
        <v>829</v>
      </c>
      <c r="B22" s="95" t="str">
        <f>+""</f>
        <v/>
      </c>
      <c r="C22" s="30">
        <v>2022</v>
      </c>
      <c r="D22" s="107">
        <v>44945</v>
      </c>
      <c r="E22" s="30" t="s">
        <v>367</v>
      </c>
      <c r="F22" s="30" t="s">
        <v>413</v>
      </c>
      <c r="G22" s="30" t="s">
        <v>434</v>
      </c>
      <c r="H22" s="107"/>
      <c r="I22" s="30"/>
      <c r="J22" s="73" t="s">
        <v>415</v>
      </c>
      <c r="K22" s="30">
        <v>3</v>
      </c>
      <c r="L22" s="73" t="s">
        <v>435</v>
      </c>
      <c r="M22" s="74">
        <v>2496.67</v>
      </c>
      <c r="N22" s="74">
        <v>10700</v>
      </c>
      <c r="O22" s="88" t="s">
        <v>525</v>
      </c>
      <c r="P22" s="74">
        <f t="shared" si="0"/>
        <v>2496.67</v>
      </c>
      <c r="Q22" s="30" t="s">
        <v>384</v>
      </c>
      <c r="R22" s="30" t="s">
        <v>238</v>
      </c>
      <c r="S22" s="30" t="s">
        <v>19</v>
      </c>
      <c r="T22" s="30" t="s">
        <v>385</v>
      </c>
      <c r="U22" s="30"/>
      <c r="V22" s="107">
        <v>44927</v>
      </c>
      <c r="W22" s="107">
        <f>Tabla2[[#This Row],[Fecha]]-DAY(Tabla2[[#This Row],[Fecha]])+1</f>
        <v>44927</v>
      </c>
      <c r="X22" s="96"/>
    </row>
    <row r="23" spans="1:24" x14ac:dyDescent="0.3">
      <c r="A23" s="30" t="s">
        <v>830</v>
      </c>
      <c r="B23" s="95" t="str">
        <f>+""</f>
        <v/>
      </c>
      <c r="C23" s="30">
        <v>2022</v>
      </c>
      <c r="D23" s="107">
        <v>44945</v>
      </c>
      <c r="E23" s="30" t="s">
        <v>367</v>
      </c>
      <c r="F23" s="30" t="s">
        <v>426</v>
      </c>
      <c r="G23" s="30" t="s">
        <v>436</v>
      </c>
      <c r="H23" s="107"/>
      <c r="I23" s="30"/>
      <c r="J23" s="73" t="s">
        <v>428</v>
      </c>
      <c r="K23" s="30">
        <v>2</v>
      </c>
      <c r="L23" s="73" t="s">
        <v>422</v>
      </c>
      <c r="M23" s="74">
        <v>2333.33</v>
      </c>
      <c r="N23" s="74">
        <v>10000</v>
      </c>
      <c r="O23" s="88" t="s">
        <v>525</v>
      </c>
      <c r="P23" s="74">
        <f t="shared" si="0"/>
        <v>2333.33</v>
      </c>
      <c r="Q23" s="30" t="s">
        <v>384</v>
      </c>
      <c r="R23" s="30" t="s">
        <v>238</v>
      </c>
      <c r="S23" s="30" t="s">
        <v>21</v>
      </c>
      <c r="T23" s="30" t="s">
        <v>385</v>
      </c>
      <c r="U23" s="30"/>
      <c r="V23" s="107">
        <v>44927</v>
      </c>
      <c r="W23" s="107">
        <f>Tabla2[[#This Row],[Fecha]]-DAY(Tabla2[[#This Row],[Fecha]])+1</f>
        <v>44927</v>
      </c>
      <c r="X23" s="96"/>
    </row>
    <row r="24" spans="1:24" x14ac:dyDescent="0.3">
      <c r="A24" s="30" t="s">
        <v>831</v>
      </c>
      <c r="B24" s="95" t="str">
        <f>+""</f>
        <v/>
      </c>
      <c r="C24" s="30">
        <v>2022</v>
      </c>
      <c r="D24" s="107">
        <v>44945</v>
      </c>
      <c r="E24" s="30" t="s">
        <v>367</v>
      </c>
      <c r="F24" s="30" t="s">
        <v>440</v>
      </c>
      <c r="G24" s="30" t="s">
        <v>441</v>
      </c>
      <c r="H24" s="107"/>
      <c r="I24" s="30"/>
      <c r="J24" s="73" t="s">
        <v>322</v>
      </c>
      <c r="K24" s="30">
        <v>1</v>
      </c>
      <c r="L24" s="73" t="s">
        <v>390</v>
      </c>
      <c r="M24" s="74">
        <v>640</v>
      </c>
      <c r="N24" s="74">
        <v>640</v>
      </c>
      <c r="O24" s="88" t="s">
        <v>525</v>
      </c>
      <c r="P24" s="74">
        <f t="shared" si="0"/>
        <v>640</v>
      </c>
      <c r="Q24" s="30" t="s">
        <v>384</v>
      </c>
      <c r="R24" s="30" t="s">
        <v>238</v>
      </c>
      <c r="S24" s="30" t="s">
        <v>21</v>
      </c>
      <c r="T24" s="30" t="s">
        <v>385</v>
      </c>
      <c r="U24" s="30"/>
      <c r="V24" s="107">
        <v>44927</v>
      </c>
      <c r="W24" s="107">
        <f>Tabla2[[#This Row],[Fecha]]-DAY(Tabla2[[#This Row],[Fecha]])+1</f>
        <v>44927</v>
      </c>
      <c r="X24" s="96"/>
    </row>
    <row r="25" spans="1:24" x14ac:dyDescent="0.3">
      <c r="A25" s="30" t="s">
        <v>832</v>
      </c>
      <c r="B25" s="95" t="str">
        <f>+""</f>
        <v/>
      </c>
      <c r="C25" s="30">
        <v>2022</v>
      </c>
      <c r="D25" s="107">
        <v>44945</v>
      </c>
      <c r="E25" s="30" t="s">
        <v>367</v>
      </c>
      <c r="F25" s="30"/>
      <c r="G25" s="30" t="s">
        <v>442</v>
      </c>
      <c r="H25" s="107"/>
      <c r="I25" s="30"/>
      <c r="J25" s="73" t="s">
        <v>323</v>
      </c>
      <c r="K25" s="30">
        <v>1</v>
      </c>
      <c r="L25" s="73" t="s">
        <v>390</v>
      </c>
      <c r="M25" s="74">
        <v>1920</v>
      </c>
      <c r="N25" s="74">
        <v>1920</v>
      </c>
      <c r="O25" s="88" t="s">
        <v>525</v>
      </c>
      <c r="P25" s="74">
        <f t="shared" si="0"/>
        <v>1920</v>
      </c>
      <c r="Q25" s="30" t="s">
        <v>384</v>
      </c>
      <c r="R25" s="30" t="s">
        <v>238</v>
      </c>
      <c r="S25" s="30" t="s">
        <v>19</v>
      </c>
      <c r="T25" s="30" t="s">
        <v>385</v>
      </c>
      <c r="U25" s="30"/>
      <c r="V25" s="107">
        <v>44927</v>
      </c>
      <c r="W25" s="107">
        <f>Tabla2[[#This Row],[Fecha]]-DAY(Tabla2[[#This Row],[Fecha]])+1</f>
        <v>44927</v>
      </c>
      <c r="X25" s="96"/>
    </row>
    <row r="26" spans="1:24" x14ac:dyDescent="0.3">
      <c r="A26" s="30" t="s">
        <v>833</v>
      </c>
      <c r="B26" s="95" t="str">
        <f>+""</f>
        <v/>
      </c>
      <c r="C26" s="30">
        <v>2022</v>
      </c>
      <c r="D26" s="107">
        <v>44945</v>
      </c>
      <c r="E26" s="30" t="s">
        <v>367</v>
      </c>
      <c r="F26" s="30"/>
      <c r="G26" s="30" t="s">
        <v>443</v>
      </c>
      <c r="H26" s="107"/>
      <c r="I26" s="30"/>
      <c r="J26" s="73" t="s">
        <v>324</v>
      </c>
      <c r="K26" s="30">
        <v>1</v>
      </c>
      <c r="L26" s="73" t="s">
        <v>390</v>
      </c>
      <c r="M26" s="74">
        <v>2560</v>
      </c>
      <c r="N26" s="74">
        <v>2560</v>
      </c>
      <c r="O26" s="88" t="s">
        <v>525</v>
      </c>
      <c r="P26" s="74">
        <f t="shared" si="0"/>
        <v>2560</v>
      </c>
      <c r="Q26" s="30" t="s">
        <v>384</v>
      </c>
      <c r="R26" s="30" t="s">
        <v>238</v>
      </c>
      <c r="S26" s="30" t="s">
        <v>16</v>
      </c>
      <c r="T26" s="30" t="s">
        <v>385</v>
      </c>
      <c r="U26" s="30"/>
      <c r="V26" s="107">
        <v>44927</v>
      </c>
      <c r="W26" s="107">
        <f>Tabla2[[#This Row],[Fecha]]-DAY(Tabla2[[#This Row],[Fecha]])+1</f>
        <v>44927</v>
      </c>
      <c r="X26" s="96"/>
    </row>
    <row r="27" spans="1:24" x14ac:dyDescent="0.3">
      <c r="A27" s="30" t="s">
        <v>834</v>
      </c>
      <c r="B27" s="95" t="str">
        <f>+""</f>
        <v/>
      </c>
      <c r="C27" s="30">
        <v>2022</v>
      </c>
      <c r="D27" s="107">
        <v>44945</v>
      </c>
      <c r="E27" s="30" t="s">
        <v>367</v>
      </c>
      <c r="F27" s="30"/>
      <c r="G27" s="30" t="s">
        <v>444</v>
      </c>
      <c r="H27" s="107"/>
      <c r="I27" s="30"/>
      <c r="J27" s="73" t="s">
        <v>325</v>
      </c>
      <c r="K27" s="30">
        <v>1</v>
      </c>
      <c r="L27" s="73" t="s">
        <v>390</v>
      </c>
      <c r="M27" s="74">
        <v>2560</v>
      </c>
      <c r="N27" s="74">
        <v>2560</v>
      </c>
      <c r="O27" s="88" t="s">
        <v>525</v>
      </c>
      <c r="P27" s="74">
        <f t="shared" si="0"/>
        <v>2560</v>
      </c>
      <c r="Q27" s="30" t="s">
        <v>384</v>
      </c>
      <c r="R27" s="30" t="s">
        <v>238</v>
      </c>
      <c r="S27" s="30" t="s">
        <v>19</v>
      </c>
      <c r="T27" s="30" t="s">
        <v>385</v>
      </c>
      <c r="U27" s="30"/>
      <c r="V27" s="107">
        <v>44927</v>
      </c>
      <c r="W27" s="107">
        <f>Tabla2[[#This Row],[Fecha]]-DAY(Tabla2[[#This Row],[Fecha]])+1</f>
        <v>44927</v>
      </c>
      <c r="X27" s="96"/>
    </row>
    <row r="28" spans="1:24" x14ac:dyDescent="0.3">
      <c r="A28" s="30" t="s">
        <v>835</v>
      </c>
      <c r="B28" s="95" t="str">
        <f>+""</f>
        <v/>
      </c>
      <c r="C28" s="30">
        <v>2022</v>
      </c>
      <c r="D28" s="107">
        <v>44970</v>
      </c>
      <c r="E28" s="30" t="s">
        <v>367</v>
      </c>
      <c r="F28" s="30" t="s">
        <v>413</v>
      </c>
      <c r="G28" s="30" t="s">
        <v>448</v>
      </c>
      <c r="H28" s="107"/>
      <c r="I28" s="30"/>
      <c r="J28" s="73" t="s">
        <v>415</v>
      </c>
      <c r="K28" s="30">
        <v>4</v>
      </c>
      <c r="L28" s="73" t="s">
        <v>449</v>
      </c>
      <c r="M28" s="74">
        <v>2496.67</v>
      </c>
      <c r="N28" s="74">
        <v>10700</v>
      </c>
      <c r="O28" s="88" t="s">
        <v>525</v>
      </c>
      <c r="P28" s="74">
        <f t="shared" si="0"/>
        <v>2496.67</v>
      </c>
      <c r="Q28" s="30" t="s">
        <v>384</v>
      </c>
      <c r="R28" s="30" t="s">
        <v>238</v>
      </c>
      <c r="S28" s="30" t="s">
        <v>19</v>
      </c>
      <c r="T28" s="30" t="s">
        <v>385</v>
      </c>
      <c r="U28" s="30"/>
      <c r="V28" s="107">
        <v>44958</v>
      </c>
      <c r="W28" s="107">
        <f>Tabla2[[#This Row],[Fecha]]-DAY(Tabla2[[#This Row],[Fecha]])+1</f>
        <v>44958</v>
      </c>
      <c r="X28" s="96"/>
    </row>
    <row r="29" spans="1:24" x14ac:dyDescent="0.3">
      <c r="A29" s="30" t="s">
        <v>836</v>
      </c>
      <c r="B29" s="95" t="str">
        <f>+""</f>
        <v/>
      </c>
      <c r="C29" s="30">
        <v>2022</v>
      </c>
      <c r="D29" s="107">
        <v>44970</v>
      </c>
      <c r="E29" s="30" t="s">
        <v>367</v>
      </c>
      <c r="F29" s="30" t="s">
        <v>426</v>
      </c>
      <c r="G29" s="30" t="s">
        <v>450</v>
      </c>
      <c r="H29" s="107"/>
      <c r="I29" s="30"/>
      <c r="J29" s="73" t="s">
        <v>428</v>
      </c>
      <c r="K29" s="30">
        <v>3</v>
      </c>
      <c r="L29" s="73" t="s">
        <v>435</v>
      </c>
      <c r="M29" s="74">
        <v>2333.33</v>
      </c>
      <c r="N29" s="74">
        <v>10000</v>
      </c>
      <c r="O29" s="88" t="s">
        <v>525</v>
      </c>
      <c r="P29" s="74">
        <f t="shared" si="0"/>
        <v>2333.33</v>
      </c>
      <c r="Q29" s="30" t="s">
        <v>384</v>
      </c>
      <c r="R29" s="30" t="s">
        <v>238</v>
      </c>
      <c r="S29" s="30" t="s">
        <v>21</v>
      </c>
      <c r="T29" s="30" t="s">
        <v>385</v>
      </c>
      <c r="U29" s="30"/>
      <c r="V29" s="107">
        <v>44958</v>
      </c>
      <c r="W29" s="107">
        <f>Tabla2[[#This Row],[Fecha]]-DAY(Tabla2[[#This Row],[Fecha]])+1</f>
        <v>44958</v>
      </c>
      <c r="X29" s="96"/>
    </row>
    <row r="30" spans="1:24" x14ac:dyDescent="0.3">
      <c r="A30" s="30" t="s">
        <v>837</v>
      </c>
      <c r="B30" s="95" t="str">
        <f>+""</f>
        <v/>
      </c>
      <c r="C30" s="30">
        <v>2022</v>
      </c>
      <c r="D30" s="107">
        <v>44970</v>
      </c>
      <c r="E30" s="30" t="s">
        <v>367</v>
      </c>
      <c r="F30" s="30" t="s">
        <v>451</v>
      </c>
      <c r="G30" s="30" t="s">
        <v>452</v>
      </c>
      <c r="H30" s="107"/>
      <c r="I30" s="30"/>
      <c r="J30" s="73" t="s">
        <v>453</v>
      </c>
      <c r="K30" s="30">
        <v>1</v>
      </c>
      <c r="L30" s="73" t="s">
        <v>416</v>
      </c>
      <c r="M30" s="74">
        <f>13300*0.3</f>
        <v>3990</v>
      </c>
      <c r="N30" s="74">
        <v>13300</v>
      </c>
      <c r="O30" s="88" t="s">
        <v>525</v>
      </c>
      <c r="P30" s="74">
        <f t="shared" si="0"/>
        <v>3990</v>
      </c>
      <c r="Q30" s="30" t="s">
        <v>384</v>
      </c>
      <c r="R30" s="30" t="s">
        <v>238</v>
      </c>
      <c r="S30" s="30" t="s">
        <v>16</v>
      </c>
      <c r="T30" s="30" t="s">
        <v>385</v>
      </c>
      <c r="U30" s="30"/>
      <c r="V30" s="107">
        <v>44958</v>
      </c>
      <c r="W30" s="107">
        <f>Tabla2[[#This Row],[Fecha]]-DAY(Tabla2[[#This Row],[Fecha]])+1</f>
        <v>44958</v>
      </c>
      <c r="X30" s="96"/>
    </row>
    <row r="31" spans="1:24" x14ac:dyDescent="0.3">
      <c r="A31" s="30" t="s">
        <v>838</v>
      </c>
      <c r="B31" s="95" t="str">
        <f>+""</f>
        <v/>
      </c>
      <c r="C31" s="30">
        <v>2022</v>
      </c>
      <c r="D31" s="107">
        <v>45005</v>
      </c>
      <c r="E31" s="30" t="s">
        <v>380</v>
      </c>
      <c r="F31" s="30"/>
      <c r="G31" s="30" t="s">
        <v>463</v>
      </c>
      <c r="H31" s="107"/>
      <c r="I31" s="30"/>
      <c r="J31" s="73" t="s">
        <v>327</v>
      </c>
      <c r="K31" s="30">
        <v>1</v>
      </c>
      <c r="L31" s="73" t="s">
        <v>390</v>
      </c>
      <c r="M31" s="74">
        <v>240</v>
      </c>
      <c r="N31" s="74">
        <v>240</v>
      </c>
      <c r="O31" s="88" t="s">
        <v>525</v>
      </c>
      <c r="P31" s="74">
        <f t="shared" si="0"/>
        <v>240</v>
      </c>
      <c r="Q31" s="30" t="s">
        <v>384</v>
      </c>
      <c r="R31" s="30" t="s">
        <v>238</v>
      </c>
      <c r="S31" s="30" t="s">
        <v>27</v>
      </c>
      <c r="T31" s="30" t="s">
        <v>385</v>
      </c>
      <c r="U31" s="30"/>
      <c r="V31" s="107">
        <v>44986</v>
      </c>
      <c r="W31" s="107">
        <f>Tabla2[[#This Row],[Fecha]]-DAY(Tabla2[[#This Row],[Fecha]])+1</f>
        <v>44986</v>
      </c>
      <c r="X31" s="96"/>
    </row>
    <row r="32" spans="1:24" x14ac:dyDescent="0.3">
      <c r="A32" s="30" t="s">
        <v>839</v>
      </c>
      <c r="B32" s="95" t="str">
        <f>+""</f>
        <v/>
      </c>
      <c r="C32" s="30">
        <v>2022</v>
      </c>
      <c r="D32" s="107">
        <v>45064</v>
      </c>
      <c r="E32" s="30" t="s">
        <v>367</v>
      </c>
      <c r="F32" s="30" t="s">
        <v>451</v>
      </c>
      <c r="G32" s="30" t="s">
        <v>475</v>
      </c>
      <c r="H32" s="107"/>
      <c r="I32" s="30"/>
      <c r="J32" s="73" t="s">
        <v>453</v>
      </c>
      <c r="K32" s="30">
        <v>2</v>
      </c>
      <c r="L32" s="73" t="s">
        <v>422</v>
      </c>
      <c r="M32" s="74">
        <f>13300*0.7/3</f>
        <v>3103.3333333333335</v>
      </c>
      <c r="N32" s="74">
        <v>13300</v>
      </c>
      <c r="O32" s="88" t="s">
        <v>525</v>
      </c>
      <c r="P32" s="74">
        <f t="shared" si="0"/>
        <v>3103.3333333333335</v>
      </c>
      <c r="Q32" s="30" t="s">
        <v>384</v>
      </c>
      <c r="R32" s="30" t="s">
        <v>238</v>
      </c>
      <c r="S32" s="30" t="s">
        <v>16</v>
      </c>
      <c r="T32" s="30" t="s">
        <v>385</v>
      </c>
      <c r="U32" s="30"/>
      <c r="V32" s="107">
        <v>45047</v>
      </c>
      <c r="W32" s="107">
        <f>Tabla2[[#This Row],[Fecha]]-DAY(Tabla2[[#This Row],[Fecha]])+1</f>
        <v>45047</v>
      </c>
      <c r="X32" s="96"/>
    </row>
    <row r="33" spans="1:24" x14ac:dyDescent="0.3">
      <c r="A33" s="30" t="s">
        <v>840</v>
      </c>
      <c r="B33" s="95" t="str">
        <f>+""</f>
        <v/>
      </c>
      <c r="C33" s="30">
        <v>2022</v>
      </c>
      <c r="D33" s="107">
        <v>45096</v>
      </c>
      <c r="E33" s="30" t="s">
        <v>367</v>
      </c>
      <c r="F33" s="30" t="s">
        <v>451</v>
      </c>
      <c r="G33" s="30" t="s">
        <v>484</v>
      </c>
      <c r="H33" s="107"/>
      <c r="I33" s="30"/>
      <c r="J33" s="73" t="s">
        <v>453</v>
      </c>
      <c r="K33" s="30">
        <v>3</v>
      </c>
      <c r="L33" s="73" t="s">
        <v>435</v>
      </c>
      <c r="M33" s="74">
        <f>13300*0.7/3</f>
        <v>3103.3333333333335</v>
      </c>
      <c r="N33" s="74">
        <v>13300</v>
      </c>
      <c r="O33" s="88" t="s">
        <v>525</v>
      </c>
      <c r="P33" s="74">
        <f t="shared" si="0"/>
        <v>3103.3333333333335</v>
      </c>
      <c r="Q33" s="30" t="s">
        <v>384</v>
      </c>
      <c r="R33" s="30" t="s">
        <v>238</v>
      </c>
      <c r="S33" s="30" t="s">
        <v>16</v>
      </c>
      <c r="T33" s="30" t="s">
        <v>385</v>
      </c>
      <c r="U33" s="30"/>
      <c r="V33" s="107">
        <v>45078</v>
      </c>
      <c r="W33" s="107">
        <f>Tabla2[[#This Row],[Fecha]]-DAY(Tabla2[[#This Row],[Fecha]])+1</f>
        <v>45078</v>
      </c>
      <c r="X33" s="96"/>
    </row>
    <row r="34" spans="1:24" x14ac:dyDescent="0.3">
      <c r="A34" s="30" t="s">
        <v>841</v>
      </c>
      <c r="B34" s="95" t="str">
        <f>+""</f>
        <v/>
      </c>
      <c r="C34" s="30">
        <v>2022</v>
      </c>
      <c r="D34" s="107">
        <v>45096</v>
      </c>
      <c r="E34" s="30" t="s">
        <v>367</v>
      </c>
      <c r="F34" s="30" t="s">
        <v>451</v>
      </c>
      <c r="G34" s="30" t="s">
        <v>484</v>
      </c>
      <c r="H34" s="107"/>
      <c r="I34" s="30"/>
      <c r="J34" s="73" t="s">
        <v>453</v>
      </c>
      <c r="K34" s="30">
        <v>4</v>
      </c>
      <c r="L34" s="73" t="s">
        <v>449</v>
      </c>
      <c r="M34" s="74">
        <f>13300*0.7/3</f>
        <v>3103.3333333333335</v>
      </c>
      <c r="N34" s="74">
        <v>13300</v>
      </c>
      <c r="O34" s="88" t="s">
        <v>525</v>
      </c>
      <c r="P34" s="74">
        <f t="shared" si="0"/>
        <v>3103.3333333333335</v>
      </c>
      <c r="Q34" s="30" t="s">
        <v>384</v>
      </c>
      <c r="R34" s="30" t="s">
        <v>238</v>
      </c>
      <c r="S34" s="30" t="s">
        <v>16</v>
      </c>
      <c r="T34" s="30" t="s">
        <v>385</v>
      </c>
      <c r="U34" s="30"/>
      <c r="V34" s="107">
        <v>45078</v>
      </c>
      <c r="W34" s="107">
        <f>Tabla2[[#This Row],[Fecha]]-DAY(Tabla2[[#This Row],[Fecha]])+1</f>
        <v>45078</v>
      </c>
      <c r="X34" s="96"/>
    </row>
    <row r="35" spans="1:24" x14ac:dyDescent="0.3">
      <c r="A35" s="30" t="s">
        <v>842</v>
      </c>
      <c r="B35" s="95" t="str">
        <f>+""</f>
        <v/>
      </c>
      <c r="C35" s="30">
        <v>2022</v>
      </c>
      <c r="D35" s="107">
        <v>45170</v>
      </c>
      <c r="E35" s="30" t="s">
        <v>367</v>
      </c>
      <c r="F35" s="30" t="s">
        <v>426</v>
      </c>
      <c r="G35" s="30" t="s">
        <v>639</v>
      </c>
      <c r="H35" s="107"/>
      <c r="I35" s="30"/>
      <c r="J35" s="73" t="s">
        <v>428</v>
      </c>
      <c r="K35" s="30">
        <v>4</v>
      </c>
      <c r="L35" s="73" t="s">
        <v>449</v>
      </c>
      <c r="M35" s="149">
        <v>2333.33</v>
      </c>
      <c r="N35" s="149">
        <v>10000</v>
      </c>
      <c r="O35" s="163" t="s">
        <v>525</v>
      </c>
      <c r="P35" s="149">
        <f t="shared" ref="P35:P66" si="1">IF(O35="SOL",M35,M35*$J$1)</f>
        <v>2333.33</v>
      </c>
      <c r="Q35" s="30" t="s">
        <v>384</v>
      </c>
      <c r="R35" s="30" t="s">
        <v>238</v>
      </c>
      <c r="S35" s="30" t="s">
        <v>21</v>
      </c>
      <c r="T35" s="30" t="s">
        <v>385</v>
      </c>
      <c r="U35" s="162">
        <v>45219</v>
      </c>
      <c r="V35" s="107">
        <v>45170</v>
      </c>
      <c r="W35" s="107">
        <f>Tabla2[[#This Row],[Fecha]]-DAY(Tabla2[[#This Row],[Fecha]])+1</f>
        <v>45170</v>
      </c>
      <c r="X35" s="96"/>
    </row>
    <row r="36" spans="1:24" x14ac:dyDescent="0.3">
      <c r="A36" s="30" t="s">
        <v>843</v>
      </c>
      <c r="B36" s="95" t="s">
        <v>355</v>
      </c>
      <c r="C36" s="30">
        <v>2023</v>
      </c>
      <c r="D36" s="107">
        <v>44945</v>
      </c>
      <c r="E36" s="30" t="s">
        <v>367</v>
      </c>
      <c r="F36" s="30" t="s">
        <v>437</v>
      </c>
      <c r="G36" s="30" t="s">
        <v>438</v>
      </c>
      <c r="H36" s="107">
        <v>44927</v>
      </c>
      <c r="I36" s="30"/>
      <c r="J36" s="73" t="s">
        <v>439</v>
      </c>
      <c r="K36" s="30">
        <v>1</v>
      </c>
      <c r="L36" s="73" t="s">
        <v>390</v>
      </c>
      <c r="M36" s="74">
        <v>1780</v>
      </c>
      <c r="N36" s="74">
        <v>1780</v>
      </c>
      <c r="O36" s="88" t="s">
        <v>525</v>
      </c>
      <c r="P36" s="74">
        <f t="shared" si="1"/>
        <v>1780</v>
      </c>
      <c r="Q36" s="30" t="s">
        <v>384</v>
      </c>
      <c r="R36" s="30" t="s">
        <v>238</v>
      </c>
      <c r="S36" s="30" t="s">
        <v>15</v>
      </c>
      <c r="T36" s="30" t="s">
        <v>385</v>
      </c>
      <c r="U36" s="30"/>
      <c r="V36" s="107">
        <v>44927</v>
      </c>
      <c r="W36" s="107">
        <f>Tabla2[[#This Row],[Fecha]]-DAY(Tabla2[[#This Row],[Fecha]])+1</f>
        <v>44927</v>
      </c>
      <c r="X36" s="96"/>
    </row>
    <row r="37" spans="1:24" x14ac:dyDescent="0.3">
      <c r="A37" s="30" t="s">
        <v>844</v>
      </c>
      <c r="B37" s="95" t="str">
        <f>+""</f>
        <v/>
      </c>
      <c r="C37" s="30">
        <v>2023</v>
      </c>
      <c r="D37" s="107">
        <v>44970</v>
      </c>
      <c r="E37" s="30" t="s">
        <v>367</v>
      </c>
      <c r="F37" s="30"/>
      <c r="G37" s="30" t="s">
        <v>445</v>
      </c>
      <c r="H37" s="107"/>
      <c r="I37" s="30"/>
      <c r="J37" s="73" t="s">
        <v>446</v>
      </c>
      <c r="K37" s="30">
        <v>1</v>
      </c>
      <c r="L37" s="73" t="s">
        <v>447</v>
      </c>
      <c r="M37" s="74">
        <v>5100</v>
      </c>
      <c r="N37" s="74">
        <v>61200</v>
      </c>
      <c r="O37" s="88" t="s">
        <v>525</v>
      </c>
      <c r="P37" s="74">
        <f>IF(O37="SOL",M37,M37*$J$1)</f>
        <v>5100</v>
      </c>
      <c r="Q37" s="30" t="s">
        <v>321</v>
      </c>
      <c r="R37" s="30" t="s">
        <v>238</v>
      </c>
      <c r="S37" s="30" t="s">
        <v>243</v>
      </c>
      <c r="T37" s="30" t="s">
        <v>385</v>
      </c>
      <c r="U37" s="30"/>
      <c r="V37" s="107">
        <v>44958</v>
      </c>
      <c r="W37" s="107">
        <f>Tabla2[[#This Row],[Fecha]]-DAY(Tabla2[[#This Row],[Fecha]])+1</f>
        <v>44958</v>
      </c>
      <c r="X37" s="96"/>
    </row>
    <row r="38" spans="1:24" x14ac:dyDescent="0.3">
      <c r="A38" s="30" t="s">
        <v>845</v>
      </c>
      <c r="B38" s="77" t="s">
        <v>346</v>
      </c>
      <c r="C38" s="30">
        <v>2023</v>
      </c>
      <c r="D38" s="107">
        <v>44974</v>
      </c>
      <c r="E38" s="30" t="s">
        <v>380</v>
      </c>
      <c r="F38" s="30" t="s">
        <v>454</v>
      </c>
      <c r="G38" s="30" t="s">
        <v>455</v>
      </c>
      <c r="H38" s="107">
        <v>44958</v>
      </c>
      <c r="I38" s="30"/>
      <c r="J38" s="73" t="s">
        <v>326</v>
      </c>
      <c r="K38" s="30">
        <v>1</v>
      </c>
      <c r="L38" s="73" t="s">
        <v>390</v>
      </c>
      <c r="M38" s="74">
        <v>1200</v>
      </c>
      <c r="N38" s="74">
        <v>1200</v>
      </c>
      <c r="O38" s="88" t="s">
        <v>525</v>
      </c>
      <c r="P38" s="74">
        <f t="shared" si="1"/>
        <v>1200</v>
      </c>
      <c r="Q38" s="30" t="s">
        <v>384</v>
      </c>
      <c r="R38" s="30" t="s">
        <v>238</v>
      </c>
      <c r="S38" s="30" t="s">
        <v>15</v>
      </c>
      <c r="T38" s="30" t="s">
        <v>385</v>
      </c>
      <c r="U38" s="30"/>
      <c r="V38" s="107">
        <v>44958</v>
      </c>
      <c r="W38" s="107">
        <f>Tabla2[[#This Row],[Fecha]]-DAY(Tabla2[[#This Row],[Fecha]])+1</f>
        <v>44958</v>
      </c>
      <c r="X38" s="96"/>
    </row>
    <row r="39" spans="1:24" x14ac:dyDescent="0.3">
      <c r="A39" s="30" t="s">
        <v>846</v>
      </c>
      <c r="B39" s="95" t="str">
        <f>+""</f>
        <v/>
      </c>
      <c r="C39" s="30">
        <v>2023</v>
      </c>
      <c r="D39" s="107">
        <v>44985</v>
      </c>
      <c r="E39" s="30" t="s">
        <v>380</v>
      </c>
      <c r="F39" s="30"/>
      <c r="G39" s="30" t="s">
        <v>456</v>
      </c>
      <c r="H39" s="107"/>
      <c r="I39" s="30" t="s">
        <v>457</v>
      </c>
      <c r="J39" s="73" t="s">
        <v>458</v>
      </c>
      <c r="K39" s="30">
        <v>1</v>
      </c>
      <c r="L39" s="73" t="s">
        <v>459</v>
      </c>
      <c r="M39" s="74">
        <v>11000</v>
      </c>
      <c r="N39" s="74">
        <v>22000</v>
      </c>
      <c r="O39" s="88" t="s">
        <v>525</v>
      </c>
      <c r="P39" s="74">
        <f t="shared" si="1"/>
        <v>11000</v>
      </c>
      <c r="Q39" s="30" t="s">
        <v>321</v>
      </c>
      <c r="R39" s="30" t="s">
        <v>238</v>
      </c>
      <c r="S39" s="30" t="s">
        <v>243</v>
      </c>
      <c r="T39" s="30" t="s">
        <v>385</v>
      </c>
      <c r="U39" s="30"/>
      <c r="V39" s="107">
        <v>44958</v>
      </c>
      <c r="W39" s="107">
        <f>Tabla2[[#This Row],[Fecha]]-DAY(Tabla2[[#This Row],[Fecha]])+1</f>
        <v>44958</v>
      </c>
      <c r="X39" s="96"/>
    </row>
    <row r="40" spans="1:24" x14ac:dyDescent="0.3">
      <c r="A40" s="30" t="s">
        <v>847</v>
      </c>
      <c r="B40" s="95" t="str">
        <f>+""</f>
        <v/>
      </c>
      <c r="C40" s="30">
        <v>2023</v>
      </c>
      <c r="D40" s="107">
        <v>45001</v>
      </c>
      <c r="E40" s="30" t="s">
        <v>367</v>
      </c>
      <c r="F40" s="30"/>
      <c r="G40" s="30" t="s">
        <v>460</v>
      </c>
      <c r="H40" s="107"/>
      <c r="I40" s="30"/>
      <c r="J40" s="73" t="s">
        <v>446</v>
      </c>
      <c r="K40" s="30">
        <v>2</v>
      </c>
      <c r="L40" s="73" t="s">
        <v>461</v>
      </c>
      <c r="M40" s="74">
        <v>5100</v>
      </c>
      <c r="N40" s="74">
        <v>61200</v>
      </c>
      <c r="O40" s="88" t="s">
        <v>525</v>
      </c>
      <c r="P40" s="74">
        <f t="shared" si="1"/>
        <v>5100</v>
      </c>
      <c r="Q40" s="30" t="s">
        <v>321</v>
      </c>
      <c r="R40" s="30" t="s">
        <v>238</v>
      </c>
      <c r="S40" s="30" t="s">
        <v>243</v>
      </c>
      <c r="T40" s="30" t="s">
        <v>385</v>
      </c>
      <c r="U40" s="30"/>
      <c r="V40" s="107">
        <v>44986</v>
      </c>
      <c r="W40" s="107">
        <f>Tabla2[[#This Row],[Fecha]]-DAY(Tabla2[[#This Row],[Fecha]])+1</f>
        <v>44986</v>
      </c>
      <c r="X40" s="96"/>
    </row>
    <row r="41" spans="1:24" x14ac:dyDescent="0.3">
      <c r="A41" s="30" t="s">
        <v>848</v>
      </c>
      <c r="B41" s="95" t="str">
        <f>+""</f>
        <v/>
      </c>
      <c r="C41" s="30">
        <v>2023</v>
      </c>
      <c r="D41" s="107">
        <v>45035</v>
      </c>
      <c r="E41" s="30" t="s">
        <v>367</v>
      </c>
      <c r="F41" s="30"/>
      <c r="G41" s="30" t="s">
        <v>464</v>
      </c>
      <c r="H41" s="107"/>
      <c r="I41" s="30"/>
      <c r="J41" s="73" t="s">
        <v>446</v>
      </c>
      <c r="K41" s="30">
        <v>3</v>
      </c>
      <c r="L41" s="73" t="s">
        <v>465</v>
      </c>
      <c r="M41" s="74">
        <v>5100</v>
      </c>
      <c r="N41" s="74">
        <v>61200</v>
      </c>
      <c r="O41" s="88" t="s">
        <v>525</v>
      </c>
      <c r="P41" s="74">
        <f t="shared" si="1"/>
        <v>5100</v>
      </c>
      <c r="Q41" s="30" t="s">
        <v>321</v>
      </c>
      <c r="R41" s="30" t="s">
        <v>238</v>
      </c>
      <c r="S41" s="30" t="s">
        <v>243</v>
      </c>
      <c r="T41" s="30" t="s">
        <v>385</v>
      </c>
      <c r="U41" s="30"/>
      <c r="V41" s="107">
        <v>45017</v>
      </c>
      <c r="W41" s="107">
        <f>Tabla2[[#This Row],[Fecha]]-DAY(Tabla2[[#This Row],[Fecha]])+1</f>
        <v>45017</v>
      </c>
      <c r="X41" s="96"/>
    </row>
    <row r="42" spans="1:24" x14ac:dyDescent="0.3">
      <c r="A42" s="30" t="s">
        <v>849</v>
      </c>
      <c r="B42" s="77" t="s">
        <v>337</v>
      </c>
      <c r="C42" s="30">
        <v>2023</v>
      </c>
      <c r="D42" s="107">
        <v>45035</v>
      </c>
      <c r="E42" s="30" t="s">
        <v>367</v>
      </c>
      <c r="F42" s="30" t="s">
        <v>466</v>
      </c>
      <c r="G42" s="30" t="s">
        <v>467</v>
      </c>
      <c r="H42" s="107">
        <v>44986</v>
      </c>
      <c r="I42" s="30" t="s">
        <v>468</v>
      </c>
      <c r="J42" s="73" t="s">
        <v>469</v>
      </c>
      <c r="K42" s="30">
        <v>1</v>
      </c>
      <c r="L42" s="73" t="s">
        <v>470</v>
      </c>
      <c r="M42" s="74">
        <f>N42*0.3</f>
        <v>11700</v>
      </c>
      <c r="N42" s="74">
        <v>39000</v>
      </c>
      <c r="O42" s="88" t="s">
        <v>525</v>
      </c>
      <c r="P42" s="74">
        <f t="shared" si="1"/>
        <v>11700</v>
      </c>
      <c r="Q42" s="30" t="s">
        <v>384</v>
      </c>
      <c r="R42" s="30" t="s">
        <v>238</v>
      </c>
      <c r="S42" s="30" t="s">
        <v>21</v>
      </c>
      <c r="T42" s="30" t="s">
        <v>385</v>
      </c>
      <c r="U42" s="30"/>
      <c r="V42" s="107">
        <v>45017</v>
      </c>
      <c r="W42" s="107">
        <f>Tabla2[[#This Row],[Fecha]]-DAY(Tabla2[[#This Row],[Fecha]])+1</f>
        <v>45017</v>
      </c>
      <c r="X42" s="96" t="s">
        <v>522</v>
      </c>
    </row>
    <row r="43" spans="1:24" x14ac:dyDescent="0.3">
      <c r="A43" s="30" t="s">
        <v>850</v>
      </c>
      <c r="B43" s="95" t="s">
        <v>353</v>
      </c>
      <c r="C43" s="30">
        <v>2023</v>
      </c>
      <c r="D43" s="107">
        <v>45061</v>
      </c>
      <c r="E43" s="30" t="s">
        <v>471</v>
      </c>
      <c r="F43" s="30" t="s">
        <v>472</v>
      </c>
      <c r="G43" s="30" t="s">
        <v>473</v>
      </c>
      <c r="H43" s="107">
        <v>45017</v>
      </c>
      <c r="I43" s="30"/>
      <c r="J43" s="73" t="s">
        <v>474</v>
      </c>
      <c r="K43" s="30">
        <v>1</v>
      </c>
      <c r="L43" s="73" t="s">
        <v>390</v>
      </c>
      <c r="M43" s="85">
        <v>250</v>
      </c>
      <c r="N43" s="85">
        <v>250</v>
      </c>
      <c r="O43" s="88" t="s">
        <v>526</v>
      </c>
      <c r="P43" s="74">
        <f t="shared" si="1"/>
        <v>2075</v>
      </c>
      <c r="Q43" s="30" t="s">
        <v>384</v>
      </c>
      <c r="R43" s="30" t="s">
        <v>238</v>
      </c>
      <c r="S43" s="30" t="s">
        <v>110</v>
      </c>
      <c r="T43" s="30" t="s">
        <v>385</v>
      </c>
      <c r="U43" s="30"/>
      <c r="V43" s="107">
        <v>45047</v>
      </c>
      <c r="W43" s="107">
        <f>Tabla2[[#This Row],[Fecha]]-DAY(Tabla2[[#This Row],[Fecha]])+1</f>
        <v>45047</v>
      </c>
      <c r="X43" s="96"/>
    </row>
    <row r="44" spans="1:24" x14ac:dyDescent="0.3">
      <c r="A44" s="30" t="s">
        <v>851</v>
      </c>
      <c r="B44" s="95" t="str">
        <f>+""</f>
        <v/>
      </c>
      <c r="C44" s="30">
        <v>2023</v>
      </c>
      <c r="D44" s="107">
        <v>45064</v>
      </c>
      <c r="E44" s="30" t="s">
        <v>367</v>
      </c>
      <c r="F44" s="30"/>
      <c r="G44" s="30" t="s">
        <v>476</v>
      </c>
      <c r="H44" s="107"/>
      <c r="I44" s="30"/>
      <c r="J44" s="73" t="s">
        <v>446</v>
      </c>
      <c r="K44" s="30">
        <v>4</v>
      </c>
      <c r="L44" s="73" t="s">
        <v>477</v>
      </c>
      <c r="M44" s="74">
        <v>5100</v>
      </c>
      <c r="N44" s="74">
        <v>61200</v>
      </c>
      <c r="O44" s="88" t="s">
        <v>525</v>
      </c>
      <c r="P44" s="74">
        <f t="shared" si="1"/>
        <v>5100</v>
      </c>
      <c r="Q44" s="30" t="s">
        <v>321</v>
      </c>
      <c r="R44" s="30" t="s">
        <v>238</v>
      </c>
      <c r="S44" s="30" t="s">
        <v>243</v>
      </c>
      <c r="T44" s="30" t="s">
        <v>385</v>
      </c>
      <c r="U44" s="30"/>
      <c r="V44" s="107">
        <v>45047</v>
      </c>
      <c r="W44" s="107">
        <f>Tabla2[[#This Row],[Fecha]]-DAY(Tabla2[[#This Row],[Fecha]])+1</f>
        <v>45047</v>
      </c>
      <c r="X44" s="96"/>
    </row>
    <row r="45" spans="1:24" x14ac:dyDescent="0.3">
      <c r="A45" s="30" t="s">
        <v>852</v>
      </c>
      <c r="B45" s="95" t="s">
        <v>354</v>
      </c>
      <c r="C45" s="30">
        <v>2023</v>
      </c>
      <c r="D45" s="107">
        <v>45064</v>
      </c>
      <c r="E45" s="30" t="s">
        <v>367</v>
      </c>
      <c r="F45" s="30" t="s">
        <v>478</v>
      </c>
      <c r="G45" s="30" t="s">
        <v>479</v>
      </c>
      <c r="H45" s="107">
        <v>44986</v>
      </c>
      <c r="I45" s="30" t="s">
        <v>480</v>
      </c>
      <c r="J45" s="73" t="s">
        <v>308</v>
      </c>
      <c r="K45" s="30">
        <v>1</v>
      </c>
      <c r="L45" s="73" t="s">
        <v>390</v>
      </c>
      <c r="M45" s="74">
        <v>2420</v>
      </c>
      <c r="N45" s="74">
        <v>2420</v>
      </c>
      <c r="O45" s="88" t="s">
        <v>525</v>
      </c>
      <c r="P45" s="74">
        <f t="shared" si="1"/>
        <v>2420</v>
      </c>
      <c r="Q45" s="30" t="s">
        <v>384</v>
      </c>
      <c r="R45" s="30" t="s">
        <v>238</v>
      </c>
      <c r="S45" s="30" t="s">
        <v>243</v>
      </c>
      <c r="T45" s="30" t="s">
        <v>385</v>
      </c>
      <c r="U45" s="30"/>
      <c r="V45" s="107">
        <v>45047</v>
      </c>
      <c r="W45" s="107">
        <f>Tabla2[[#This Row],[Fecha]]-DAY(Tabla2[[#This Row],[Fecha]])+1</f>
        <v>45047</v>
      </c>
      <c r="X45" s="96"/>
    </row>
    <row r="46" spans="1:24" x14ac:dyDescent="0.3">
      <c r="A46" s="30" t="s">
        <v>853</v>
      </c>
      <c r="B46" s="77" t="s">
        <v>349</v>
      </c>
      <c r="C46" s="30">
        <v>2023</v>
      </c>
      <c r="D46" s="107">
        <v>45064</v>
      </c>
      <c r="E46" s="30" t="s">
        <v>367</v>
      </c>
      <c r="F46" s="30" t="s">
        <v>481</v>
      </c>
      <c r="G46" s="30" t="s">
        <v>482</v>
      </c>
      <c r="H46" s="107">
        <v>44986</v>
      </c>
      <c r="I46" s="30" t="s">
        <v>483</v>
      </c>
      <c r="J46" s="73" t="s">
        <v>328</v>
      </c>
      <c r="K46" s="30">
        <v>1</v>
      </c>
      <c r="L46" s="73" t="s">
        <v>390</v>
      </c>
      <c r="M46" s="149">
        <v>3060</v>
      </c>
      <c r="N46" s="149">
        <v>3060</v>
      </c>
      <c r="O46" s="88" t="s">
        <v>525</v>
      </c>
      <c r="P46" s="74">
        <f t="shared" si="1"/>
        <v>3060</v>
      </c>
      <c r="Q46" s="30" t="s">
        <v>384</v>
      </c>
      <c r="R46" s="30" t="s">
        <v>238</v>
      </c>
      <c r="S46" s="30" t="s">
        <v>15</v>
      </c>
      <c r="T46" s="30" t="s">
        <v>385</v>
      </c>
      <c r="U46" s="30"/>
      <c r="V46" s="107">
        <v>45047</v>
      </c>
      <c r="W46" s="107">
        <f>Tabla2[[#This Row],[Fecha]]-DAY(Tabla2[[#This Row],[Fecha]])+1</f>
        <v>45047</v>
      </c>
      <c r="X46" s="96"/>
    </row>
    <row r="47" spans="1:24" x14ac:dyDescent="0.3">
      <c r="A47" s="30" t="s">
        <v>854</v>
      </c>
      <c r="B47" s="95" t="str">
        <f>+""</f>
        <v/>
      </c>
      <c r="C47" s="30">
        <v>2023</v>
      </c>
      <c r="D47" s="107">
        <v>45096</v>
      </c>
      <c r="E47" s="30" t="s">
        <v>367</v>
      </c>
      <c r="F47" s="30"/>
      <c r="G47" s="30" t="s">
        <v>485</v>
      </c>
      <c r="H47" s="107"/>
      <c r="I47" s="30"/>
      <c r="J47" s="73" t="s">
        <v>446</v>
      </c>
      <c r="K47" s="30">
        <v>5</v>
      </c>
      <c r="L47" s="73" t="s">
        <v>486</v>
      </c>
      <c r="M47" s="74">
        <v>5100</v>
      </c>
      <c r="N47" s="74">
        <v>61200</v>
      </c>
      <c r="O47" s="88" t="s">
        <v>525</v>
      </c>
      <c r="P47" s="74">
        <f t="shared" si="1"/>
        <v>5100</v>
      </c>
      <c r="Q47" s="30" t="s">
        <v>321</v>
      </c>
      <c r="R47" s="30" t="s">
        <v>238</v>
      </c>
      <c r="S47" s="30" t="s">
        <v>243</v>
      </c>
      <c r="T47" s="30" t="s">
        <v>385</v>
      </c>
      <c r="U47" s="30"/>
      <c r="V47" s="107">
        <v>45078</v>
      </c>
      <c r="W47" s="107">
        <f>Tabla2[[#This Row],[Fecha]]-DAY(Tabla2[[#This Row],[Fecha]])+1</f>
        <v>45078</v>
      </c>
      <c r="X47" s="96"/>
    </row>
    <row r="48" spans="1:24" x14ac:dyDescent="0.3">
      <c r="A48" s="30" t="s">
        <v>855</v>
      </c>
      <c r="B48" s="95" t="s">
        <v>338</v>
      </c>
      <c r="C48" s="30">
        <v>2023</v>
      </c>
      <c r="D48" s="107">
        <v>45096</v>
      </c>
      <c r="E48" s="30" t="s">
        <v>367</v>
      </c>
      <c r="F48" s="30"/>
      <c r="G48" s="30" t="s">
        <v>487</v>
      </c>
      <c r="H48" s="107">
        <v>45047</v>
      </c>
      <c r="I48" s="30" t="s">
        <v>577</v>
      </c>
      <c r="J48" s="73" t="s">
        <v>488</v>
      </c>
      <c r="K48" s="30">
        <v>1</v>
      </c>
      <c r="L48" s="73" t="s">
        <v>489</v>
      </c>
      <c r="M48" s="149">
        <v>3400</v>
      </c>
      <c r="N48" s="149">
        <v>8000</v>
      </c>
      <c r="O48" s="88" t="s">
        <v>525</v>
      </c>
      <c r="P48" s="74">
        <f t="shared" si="1"/>
        <v>3400</v>
      </c>
      <c r="Q48" s="30" t="s">
        <v>384</v>
      </c>
      <c r="R48" s="30" t="s">
        <v>238</v>
      </c>
      <c r="S48" s="30" t="s">
        <v>21</v>
      </c>
      <c r="T48" s="30" t="s">
        <v>385</v>
      </c>
      <c r="U48" s="30"/>
      <c r="V48" s="107">
        <v>45078</v>
      </c>
      <c r="W48" s="107">
        <f>Tabla2[[#This Row],[Fecha]]-DAY(Tabla2[[#This Row],[Fecha]])+1</f>
        <v>45078</v>
      </c>
      <c r="X48" s="96"/>
    </row>
    <row r="49" spans="1:24" x14ac:dyDescent="0.3">
      <c r="A49" s="30" t="s">
        <v>856</v>
      </c>
      <c r="B49" s="77" t="s">
        <v>337</v>
      </c>
      <c r="C49" s="30">
        <v>2023</v>
      </c>
      <c r="D49" s="107">
        <v>45098</v>
      </c>
      <c r="E49" s="30" t="s">
        <v>367</v>
      </c>
      <c r="F49" s="30" t="s">
        <v>466</v>
      </c>
      <c r="G49" s="30" t="s">
        <v>490</v>
      </c>
      <c r="H49" s="107">
        <v>44986</v>
      </c>
      <c r="I49" s="30" t="s">
        <v>468</v>
      </c>
      <c r="J49" s="73" t="s">
        <v>469</v>
      </c>
      <c r="K49" s="30">
        <v>2</v>
      </c>
      <c r="L49" s="73" t="s">
        <v>491</v>
      </c>
      <c r="M49" s="74">
        <f>N49*0.7/5</f>
        <v>5460</v>
      </c>
      <c r="N49" s="74">
        <v>39000</v>
      </c>
      <c r="O49" s="88" t="s">
        <v>525</v>
      </c>
      <c r="P49" s="74">
        <f t="shared" si="1"/>
        <v>5460</v>
      </c>
      <c r="Q49" s="30" t="s">
        <v>384</v>
      </c>
      <c r="R49" s="30" t="s">
        <v>238</v>
      </c>
      <c r="S49" s="30" t="s">
        <v>21</v>
      </c>
      <c r="T49" s="30" t="s">
        <v>385</v>
      </c>
      <c r="U49" s="30"/>
      <c r="V49" s="107">
        <v>45078</v>
      </c>
      <c r="W49" s="107">
        <f>Tabla2[[#This Row],[Fecha]]-DAY(Tabla2[[#This Row],[Fecha]])+1</f>
        <v>45078</v>
      </c>
      <c r="X49" s="96" t="s">
        <v>522</v>
      </c>
    </row>
    <row r="50" spans="1:24" x14ac:dyDescent="0.3">
      <c r="A50" s="30" t="s">
        <v>857</v>
      </c>
      <c r="B50" s="77" t="s">
        <v>337</v>
      </c>
      <c r="C50" s="30">
        <v>2023</v>
      </c>
      <c r="D50" s="107">
        <v>45098</v>
      </c>
      <c r="E50" s="30" t="s">
        <v>367</v>
      </c>
      <c r="F50" s="30" t="s">
        <v>492</v>
      </c>
      <c r="G50" s="30" t="s">
        <v>493</v>
      </c>
      <c r="H50" s="107">
        <v>44986</v>
      </c>
      <c r="I50" s="30" t="s">
        <v>576</v>
      </c>
      <c r="J50" s="73" t="s">
        <v>494</v>
      </c>
      <c r="K50" s="30">
        <v>1</v>
      </c>
      <c r="L50" s="73" t="s">
        <v>394</v>
      </c>
      <c r="M50" s="74">
        <f>N50*0.3</f>
        <v>2130</v>
      </c>
      <c r="N50" s="74">
        <v>7100</v>
      </c>
      <c r="O50" s="88" t="s">
        <v>525</v>
      </c>
      <c r="P50" s="74">
        <f t="shared" si="1"/>
        <v>2130</v>
      </c>
      <c r="Q50" s="30" t="s">
        <v>384</v>
      </c>
      <c r="R50" s="30" t="s">
        <v>238</v>
      </c>
      <c r="S50" s="30" t="s">
        <v>21</v>
      </c>
      <c r="T50" s="30" t="s">
        <v>385</v>
      </c>
      <c r="U50" s="30"/>
      <c r="V50" s="107">
        <v>45078</v>
      </c>
      <c r="W50" s="107">
        <f>Tabla2[[#This Row],[Fecha]]-DAY(Tabla2[[#This Row],[Fecha]])+1</f>
        <v>45078</v>
      </c>
      <c r="X50" s="96" t="s">
        <v>523</v>
      </c>
    </row>
    <row r="51" spans="1:24" x14ac:dyDescent="0.3">
      <c r="A51" s="30" t="s">
        <v>858</v>
      </c>
      <c r="B51" s="95" t="str">
        <f>+""</f>
        <v/>
      </c>
      <c r="C51" s="30">
        <v>2023</v>
      </c>
      <c r="D51" s="107">
        <v>45113</v>
      </c>
      <c r="E51" s="30" t="s">
        <v>367</v>
      </c>
      <c r="F51" s="30"/>
      <c r="G51" s="30" t="s">
        <v>495</v>
      </c>
      <c r="H51" s="107"/>
      <c r="I51" s="30"/>
      <c r="J51" s="73" t="s">
        <v>446</v>
      </c>
      <c r="K51" s="30">
        <v>6</v>
      </c>
      <c r="L51" s="73" t="s">
        <v>496</v>
      </c>
      <c r="M51" s="74">
        <v>5100</v>
      </c>
      <c r="N51" s="74">
        <v>61200</v>
      </c>
      <c r="O51" s="88" t="s">
        <v>525</v>
      </c>
      <c r="P51" s="74">
        <f t="shared" si="1"/>
        <v>5100</v>
      </c>
      <c r="Q51" s="30" t="s">
        <v>321</v>
      </c>
      <c r="R51" s="30" t="s">
        <v>238</v>
      </c>
      <c r="S51" s="30" t="s">
        <v>243</v>
      </c>
      <c r="T51" s="30" t="s">
        <v>385</v>
      </c>
      <c r="U51" s="30"/>
      <c r="V51" s="107">
        <v>45108</v>
      </c>
      <c r="W51" s="107">
        <f>Tabla2[[#This Row],[Fecha]]-DAY(Tabla2[[#This Row],[Fecha]])+1</f>
        <v>45108</v>
      </c>
      <c r="X51" s="96"/>
    </row>
    <row r="52" spans="1:24" x14ac:dyDescent="0.3">
      <c r="A52" s="30" t="s">
        <v>859</v>
      </c>
      <c r="B52" s="77" t="s">
        <v>337</v>
      </c>
      <c r="C52" s="30">
        <v>2023</v>
      </c>
      <c r="D52" s="107">
        <v>45128</v>
      </c>
      <c r="E52" s="30" t="s">
        <v>367</v>
      </c>
      <c r="F52" s="30" t="s">
        <v>466</v>
      </c>
      <c r="G52" s="30" t="s">
        <v>573</v>
      </c>
      <c r="H52" s="107">
        <v>44986</v>
      </c>
      <c r="I52" s="30" t="s">
        <v>468</v>
      </c>
      <c r="J52" s="73" t="s">
        <v>469</v>
      </c>
      <c r="K52" s="30">
        <v>3</v>
      </c>
      <c r="L52" s="73" t="s">
        <v>504</v>
      </c>
      <c r="M52" s="74">
        <f>N52*0.7/5</f>
        <v>5460</v>
      </c>
      <c r="N52" s="74">
        <v>39000</v>
      </c>
      <c r="O52" s="88" t="s">
        <v>525</v>
      </c>
      <c r="P52" s="74">
        <f t="shared" si="1"/>
        <v>5460</v>
      </c>
      <c r="Q52" s="30" t="s">
        <v>384</v>
      </c>
      <c r="R52" s="30" t="s">
        <v>238</v>
      </c>
      <c r="S52" s="30" t="s">
        <v>21</v>
      </c>
      <c r="T52" s="30" t="s">
        <v>385</v>
      </c>
      <c r="U52" s="30"/>
      <c r="V52" s="107">
        <v>45108</v>
      </c>
      <c r="W52" s="107">
        <f>Tabla2[[#This Row],[Fecha]]-DAY(Tabla2[[#This Row],[Fecha]])+1</f>
        <v>45108</v>
      </c>
      <c r="X52" s="96" t="s">
        <v>522</v>
      </c>
    </row>
    <row r="53" spans="1:24" x14ac:dyDescent="0.3">
      <c r="A53" s="30" t="s">
        <v>860</v>
      </c>
      <c r="B53" s="77" t="s">
        <v>337</v>
      </c>
      <c r="C53" s="30">
        <v>2023</v>
      </c>
      <c r="D53" s="107">
        <v>45128</v>
      </c>
      <c r="E53" s="30" t="s">
        <v>367</v>
      </c>
      <c r="F53" s="30" t="s">
        <v>492</v>
      </c>
      <c r="G53" s="30" t="s">
        <v>572</v>
      </c>
      <c r="H53" s="107">
        <v>44986</v>
      </c>
      <c r="I53" s="30" t="s">
        <v>576</v>
      </c>
      <c r="J53" s="73" t="s">
        <v>494</v>
      </c>
      <c r="K53" s="30">
        <v>2</v>
      </c>
      <c r="L53" s="73" t="s">
        <v>508</v>
      </c>
      <c r="M53" s="74">
        <f>N53*0.7/2</f>
        <v>2485</v>
      </c>
      <c r="N53" s="74">
        <v>7100</v>
      </c>
      <c r="O53" s="88" t="s">
        <v>525</v>
      </c>
      <c r="P53" s="74">
        <f t="shared" si="1"/>
        <v>2485</v>
      </c>
      <c r="Q53" s="30" t="s">
        <v>384</v>
      </c>
      <c r="R53" s="30" t="s">
        <v>238</v>
      </c>
      <c r="S53" s="30" t="s">
        <v>21</v>
      </c>
      <c r="T53" s="30" t="s">
        <v>385</v>
      </c>
      <c r="U53" s="30"/>
      <c r="V53" s="107">
        <v>45108</v>
      </c>
      <c r="W53" s="107">
        <f>Tabla2[[#This Row],[Fecha]]-DAY(Tabla2[[#This Row],[Fecha]])+1</f>
        <v>45108</v>
      </c>
      <c r="X53" s="96" t="s">
        <v>523</v>
      </c>
    </row>
    <row r="54" spans="1:24" x14ac:dyDescent="0.3">
      <c r="A54" s="30" t="s">
        <v>861</v>
      </c>
      <c r="B54" s="95" t="s">
        <v>339</v>
      </c>
      <c r="C54" s="30">
        <v>2023</v>
      </c>
      <c r="D54" s="107">
        <v>45128</v>
      </c>
      <c r="E54" s="30" t="s">
        <v>367</v>
      </c>
      <c r="F54" s="30"/>
      <c r="G54" s="30" t="s">
        <v>571</v>
      </c>
      <c r="H54" s="107">
        <v>45047</v>
      </c>
      <c r="I54" s="30" t="s">
        <v>577</v>
      </c>
      <c r="J54" s="73" t="s">
        <v>488</v>
      </c>
      <c r="K54" s="30">
        <v>2</v>
      </c>
      <c r="L54" s="73" t="s">
        <v>510</v>
      </c>
      <c r="M54" s="74">
        <v>1800</v>
      </c>
      <c r="N54" s="74">
        <v>8000</v>
      </c>
      <c r="O54" s="88" t="s">
        <v>525</v>
      </c>
      <c r="P54" s="74">
        <f t="shared" si="1"/>
        <v>1800</v>
      </c>
      <c r="Q54" s="30" t="s">
        <v>384</v>
      </c>
      <c r="R54" s="30" t="s">
        <v>238</v>
      </c>
      <c r="S54" s="30" t="s">
        <v>21</v>
      </c>
      <c r="T54" s="30" t="s">
        <v>385</v>
      </c>
      <c r="U54" s="30"/>
      <c r="V54" s="107">
        <v>45108</v>
      </c>
      <c r="W54" s="107">
        <f>Tabla2[[#This Row],[Fecha]]-DAY(Tabla2[[#This Row],[Fecha]])+1</f>
        <v>45108</v>
      </c>
      <c r="X54" s="96"/>
    </row>
    <row r="55" spans="1:24" x14ac:dyDescent="0.3">
      <c r="A55" s="30" t="s">
        <v>862</v>
      </c>
      <c r="B55" s="95" t="str">
        <f>+""</f>
        <v/>
      </c>
      <c r="C55" s="30">
        <v>2023</v>
      </c>
      <c r="D55" s="107">
        <v>45155</v>
      </c>
      <c r="E55" s="30" t="s">
        <v>367</v>
      </c>
      <c r="F55" s="30"/>
      <c r="G55" s="30" t="s">
        <v>578</v>
      </c>
      <c r="H55" s="107"/>
      <c r="I55" s="30"/>
      <c r="J55" s="73" t="s">
        <v>446</v>
      </c>
      <c r="K55" s="30">
        <v>7</v>
      </c>
      <c r="L55" s="73" t="s">
        <v>497</v>
      </c>
      <c r="M55" s="74">
        <v>5100</v>
      </c>
      <c r="N55" s="74">
        <v>61200</v>
      </c>
      <c r="O55" s="88" t="s">
        <v>525</v>
      </c>
      <c r="P55" s="74">
        <f t="shared" si="1"/>
        <v>5100</v>
      </c>
      <c r="Q55" s="30" t="s">
        <v>321</v>
      </c>
      <c r="R55" s="30" t="s">
        <v>238</v>
      </c>
      <c r="S55" s="30" t="s">
        <v>243</v>
      </c>
      <c r="T55" s="30" t="s">
        <v>385</v>
      </c>
      <c r="U55" s="30"/>
      <c r="V55" s="107">
        <v>45139</v>
      </c>
      <c r="W55" s="107">
        <f>Tabla2[[#This Row],[Fecha]]-DAY(Tabla2[[#This Row],[Fecha]])+1</f>
        <v>45139</v>
      </c>
      <c r="X55" s="96"/>
    </row>
    <row r="56" spans="1:24" x14ac:dyDescent="0.3">
      <c r="A56" s="30" t="s">
        <v>863</v>
      </c>
      <c r="B56" s="77" t="s">
        <v>337</v>
      </c>
      <c r="C56" s="30">
        <v>2023</v>
      </c>
      <c r="D56" s="107">
        <v>45155</v>
      </c>
      <c r="E56" s="30" t="s">
        <v>367</v>
      </c>
      <c r="F56" s="30" t="s">
        <v>466</v>
      </c>
      <c r="G56" s="30" t="s">
        <v>579</v>
      </c>
      <c r="H56" s="107">
        <v>44986</v>
      </c>
      <c r="I56" s="30" t="s">
        <v>468</v>
      </c>
      <c r="J56" s="73" t="s">
        <v>469</v>
      </c>
      <c r="K56" s="30">
        <v>4</v>
      </c>
      <c r="L56" s="73" t="s">
        <v>505</v>
      </c>
      <c r="M56" s="74">
        <f>N56*0.7/5</f>
        <v>5460</v>
      </c>
      <c r="N56" s="74">
        <v>39000</v>
      </c>
      <c r="O56" s="88" t="s">
        <v>525</v>
      </c>
      <c r="P56" s="74">
        <f t="shared" si="1"/>
        <v>5460</v>
      </c>
      <c r="Q56" s="30" t="s">
        <v>384</v>
      </c>
      <c r="R56" s="30" t="s">
        <v>238</v>
      </c>
      <c r="S56" s="30" t="s">
        <v>21</v>
      </c>
      <c r="T56" s="30" t="s">
        <v>385</v>
      </c>
      <c r="U56" s="30"/>
      <c r="V56" s="107">
        <v>45139</v>
      </c>
      <c r="W56" s="107">
        <f>Tabla2[[#This Row],[Fecha]]-DAY(Tabla2[[#This Row],[Fecha]])+1</f>
        <v>45139</v>
      </c>
      <c r="X56" s="96" t="s">
        <v>522</v>
      </c>
    </row>
    <row r="57" spans="1:24" x14ac:dyDescent="0.3">
      <c r="A57" s="30" t="s">
        <v>864</v>
      </c>
      <c r="B57" s="95" t="str">
        <f>+""</f>
        <v/>
      </c>
      <c r="C57" s="30">
        <v>2023</v>
      </c>
      <c r="D57" s="107">
        <v>45166</v>
      </c>
      <c r="E57" s="30" t="s">
        <v>380</v>
      </c>
      <c r="F57" s="30"/>
      <c r="G57" s="30" t="s">
        <v>596</v>
      </c>
      <c r="H57" s="107"/>
      <c r="I57" s="30" t="s">
        <v>457</v>
      </c>
      <c r="J57" s="73" t="s">
        <v>458</v>
      </c>
      <c r="K57" s="30">
        <v>2</v>
      </c>
      <c r="L57" s="73" t="s">
        <v>503</v>
      </c>
      <c r="M57" s="149">
        <v>11000</v>
      </c>
      <c r="N57" s="149">
        <v>22000</v>
      </c>
      <c r="O57" s="163" t="s">
        <v>525</v>
      </c>
      <c r="P57" s="149">
        <f t="shared" si="1"/>
        <v>11000</v>
      </c>
      <c r="Q57" s="30" t="s">
        <v>321</v>
      </c>
      <c r="R57" s="30" t="s">
        <v>238</v>
      </c>
      <c r="S57" s="30" t="s">
        <v>243</v>
      </c>
      <c r="T57" s="30" t="s">
        <v>385</v>
      </c>
      <c r="U57" s="84">
        <v>45173</v>
      </c>
      <c r="V57" s="107">
        <v>45139</v>
      </c>
      <c r="W57" s="107">
        <f>Tabla2[[#This Row],[Fecha]]-DAY(Tabla2[[#This Row],[Fecha]])+1</f>
        <v>45139</v>
      </c>
      <c r="X57" s="96"/>
    </row>
    <row r="58" spans="1:24" s="1" customFormat="1" x14ac:dyDescent="0.3">
      <c r="A58" s="30" t="s">
        <v>865</v>
      </c>
      <c r="B58" s="77" t="s">
        <v>337</v>
      </c>
      <c r="C58" s="30">
        <v>2023</v>
      </c>
      <c r="D58" s="107">
        <v>45170</v>
      </c>
      <c r="E58" s="30" t="s">
        <v>367</v>
      </c>
      <c r="F58" s="30" t="s">
        <v>492</v>
      </c>
      <c r="G58" s="30" t="s">
        <v>706</v>
      </c>
      <c r="H58" s="107">
        <v>44986</v>
      </c>
      <c r="I58" s="30" t="s">
        <v>576</v>
      </c>
      <c r="J58" s="73" t="s">
        <v>494</v>
      </c>
      <c r="K58" s="30">
        <v>3</v>
      </c>
      <c r="L58" s="73" t="s">
        <v>509</v>
      </c>
      <c r="M58" s="149">
        <f>N58*0.7/2</f>
        <v>2485</v>
      </c>
      <c r="N58" s="149">
        <v>7100</v>
      </c>
      <c r="O58" s="163" t="s">
        <v>525</v>
      </c>
      <c r="P58" s="149">
        <f t="shared" si="1"/>
        <v>2485</v>
      </c>
      <c r="Q58" s="30" t="s">
        <v>384</v>
      </c>
      <c r="R58" s="30" t="s">
        <v>238</v>
      </c>
      <c r="S58" s="30" t="s">
        <v>21</v>
      </c>
      <c r="T58" s="30" t="s">
        <v>385</v>
      </c>
      <c r="U58" s="162">
        <v>45251</v>
      </c>
      <c r="V58" s="107">
        <v>45170</v>
      </c>
      <c r="W58" s="107">
        <f>Tabla2[[#This Row],[Fecha]]-DAY(Tabla2[[#This Row],[Fecha]])+1</f>
        <v>45170</v>
      </c>
      <c r="X58" s="96" t="s">
        <v>523</v>
      </c>
    </row>
    <row r="59" spans="1:24" x14ac:dyDescent="0.3">
      <c r="A59" s="30" t="s">
        <v>866</v>
      </c>
      <c r="B59" s="95" t="s">
        <v>338</v>
      </c>
      <c r="C59" s="30">
        <v>2023</v>
      </c>
      <c r="D59" s="107">
        <v>45170</v>
      </c>
      <c r="E59" s="30" t="s">
        <v>367</v>
      </c>
      <c r="F59" s="30"/>
      <c r="G59" s="30" t="s">
        <v>671</v>
      </c>
      <c r="H59" s="107">
        <v>45047</v>
      </c>
      <c r="I59" s="30" t="s">
        <v>577</v>
      </c>
      <c r="J59" s="73" t="s">
        <v>488</v>
      </c>
      <c r="K59" s="30">
        <v>3</v>
      </c>
      <c r="L59" s="73" t="s">
        <v>511</v>
      </c>
      <c r="M59" s="149">
        <v>2800</v>
      </c>
      <c r="N59" s="149">
        <v>8000</v>
      </c>
      <c r="O59" s="163" t="s">
        <v>525</v>
      </c>
      <c r="P59" s="149">
        <f t="shared" si="1"/>
        <v>2800</v>
      </c>
      <c r="Q59" s="30" t="s">
        <v>384</v>
      </c>
      <c r="R59" s="30" t="s">
        <v>238</v>
      </c>
      <c r="S59" s="30" t="s">
        <v>21</v>
      </c>
      <c r="T59" s="30" t="s">
        <v>385</v>
      </c>
      <c r="U59" s="162">
        <v>45241</v>
      </c>
      <c r="V59" s="107">
        <v>45170</v>
      </c>
      <c r="W59" s="107">
        <f>Tabla2[[#This Row],[Fecha]]-DAY(Tabla2[[#This Row],[Fecha]])+1</f>
        <v>45170</v>
      </c>
      <c r="X59" s="96"/>
    </row>
    <row r="60" spans="1:24" x14ac:dyDescent="0.3">
      <c r="A60" s="30" t="s">
        <v>867</v>
      </c>
      <c r="B60" s="95" t="str">
        <f>+""</f>
        <v/>
      </c>
      <c r="C60" s="30">
        <v>2023</v>
      </c>
      <c r="D60" s="107">
        <v>45170</v>
      </c>
      <c r="E60" s="30" t="s">
        <v>367</v>
      </c>
      <c r="F60" s="30"/>
      <c r="G60" s="30" t="s">
        <v>634</v>
      </c>
      <c r="H60" s="107"/>
      <c r="I60" s="30" t="s">
        <v>632</v>
      </c>
      <c r="J60" s="73" t="s">
        <v>446</v>
      </c>
      <c r="K60" s="30">
        <v>8</v>
      </c>
      <c r="L60" s="73" t="s">
        <v>498</v>
      </c>
      <c r="M60" s="149">
        <v>5100</v>
      </c>
      <c r="N60" s="149">
        <v>61200</v>
      </c>
      <c r="O60" s="163" t="s">
        <v>525</v>
      </c>
      <c r="P60" s="149">
        <f t="shared" si="1"/>
        <v>5100</v>
      </c>
      <c r="Q60" s="30" t="s">
        <v>321</v>
      </c>
      <c r="R60" s="30" t="s">
        <v>238</v>
      </c>
      <c r="S60" s="30" t="s">
        <v>243</v>
      </c>
      <c r="T60" s="30" t="s">
        <v>385</v>
      </c>
      <c r="U60" s="162">
        <v>45219</v>
      </c>
      <c r="V60" s="107">
        <v>45170</v>
      </c>
      <c r="W60" s="107">
        <f>Tabla2[[#This Row],[Fecha]]-DAY(Tabla2[[#This Row],[Fecha]])+1</f>
        <v>45170</v>
      </c>
      <c r="X60" s="96"/>
    </row>
    <row r="61" spans="1:24" x14ac:dyDescent="0.3">
      <c r="A61" s="30" t="s">
        <v>868</v>
      </c>
      <c r="B61" s="77" t="s">
        <v>337</v>
      </c>
      <c r="C61" s="30">
        <v>2023</v>
      </c>
      <c r="D61" s="107">
        <v>45170</v>
      </c>
      <c r="E61" s="30" t="s">
        <v>367</v>
      </c>
      <c r="F61" s="30" t="s">
        <v>466</v>
      </c>
      <c r="G61" s="30" t="s">
        <v>635</v>
      </c>
      <c r="H61" s="107">
        <v>44986</v>
      </c>
      <c r="I61" s="30" t="s">
        <v>468</v>
      </c>
      <c r="J61" s="73" t="s">
        <v>469</v>
      </c>
      <c r="K61" s="30">
        <v>5</v>
      </c>
      <c r="L61" s="73" t="s">
        <v>506</v>
      </c>
      <c r="M61" s="149">
        <f>N61*0.7/5</f>
        <v>5460</v>
      </c>
      <c r="N61" s="149">
        <v>39000</v>
      </c>
      <c r="O61" s="163" t="s">
        <v>525</v>
      </c>
      <c r="P61" s="149">
        <f t="shared" si="1"/>
        <v>5460</v>
      </c>
      <c r="Q61" s="30" t="s">
        <v>384</v>
      </c>
      <c r="R61" s="30" t="s">
        <v>238</v>
      </c>
      <c r="S61" s="30" t="s">
        <v>21</v>
      </c>
      <c r="T61" s="30" t="s">
        <v>385</v>
      </c>
      <c r="U61" s="162">
        <v>45219</v>
      </c>
      <c r="V61" s="107">
        <v>45170</v>
      </c>
      <c r="W61" s="107">
        <f>Tabla2[[#This Row],[Fecha]]-DAY(Tabla2[[#This Row],[Fecha]])+1</f>
        <v>45170</v>
      </c>
      <c r="X61" s="96" t="s">
        <v>522</v>
      </c>
    </row>
    <row r="62" spans="1:24" x14ac:dyDescent="0.3">
      <c r="A62" s="30" t="s">
        <v>869</v>
      </c>
      <c r="B62" s="77" t="s">
        <v>339</v>
      </c>
      <c r="C62" s="30">
        <v>2023</v>
      </c>
      <c r="D62" s="107">
        <v>45170</v>
      </c>
      <c r="E62" s="30" t="s">
        <v>367</v>
      </c>
      <c r="F62" s="30" t="s">
        <v>617</v>
      </c>
      <c r="G62" s="30" t="s">
        <v>637</v>
      </c>
      <c r="H62" s="107">
        <v>45139</v>
      </c>
      <c r="I62" s="30" t="s">
        <v>630</v>
      </c>
      <c r="J62" s="73" t="s">
        <v>616</v>
      </c>
      <c r="K62" s="30">
        <v>2</v>
      </c>
      <c r="L62" s="73" t="s">
        <v>618</v>
      </c>
      <c r="M62" s="149">
        <v>4640</v>
      </c>
      <c r="N62" s="149">
        <v>9280</v>
      </c>
      <c r="O62" s="163" t="s">
        <v>525</v>
      </c>
      <c r="P62" s="149">
        <f t="shared" si="1"/>
        <v>4640</v>
      </c>
      <c r="Q62" s="30" t="s">
        <v>384</v>
      </c>
      <c r="R62" s="30" t="s">
        <v>238</v>
      </c>
      <c r="S62" s="30" t="s">
        <v>21</v>
      </c>
      <c r="T62" s="30" t="s">
        <v>385</v>
      </c>
      <c r="U62" s="162">
        <v>45219</v>
      </c>
      <c r="V62" s="107">
        <v>45170</v>
      </c>
      <c r="W62" s="107">
        <f>Tabla2[[#This Row],[Fecha]]-DAY(Tabla2[[#This Row],[Fecha]])+1</f>
        <v>45170</v>
      </c>
      <c r="X62" s="96" t="s">
        <v>523</v>
      </c>
    </row>
    <row r="63" spans="1:24" x14ac:dyDescent="0.3">
      <c r="A63" s="30" t="s">
        <v>870</v>
      </c>
      <c r="B63" s="95" t="s">
        <v>342</v>
      </c>
      <c r="C63" s="30">
        <v>2023</v>
      </c>
      <c r="D63" s="107">
        <v>45170</v>
      </c>
      <c r="E63" s="30" t="s">
        <v>367</v>
      </c>
      <c r="F63" s="30" t="s">
        <v>620</v>
      </c>
      <c r="G63" s="30" t="s">
        <v>636</v>
      </c>
      <c r="H63" s="107">
        <v>45139</v>
      </c>
      <c r="I63" s="30" t="s">
        <v>631</v>
      </c>
      <c r="J63" s="73" t="s">
        <v>623</v>
      </c>
      <c r="K63" s="30">
        <v>3</v>
      </c>
      <c r="L63" s="73" t="s">
        <v>625</v>
      </c>
      <c r="M63" s="149">
        <f>+Tabla2[[#This Row],[Total cuotas]]*0.3</f>
        <v>4110</v>
      </c>
      <c r="N63" s="149">
        <v>13700</v>
      </c>
      <c r="O63" s="163" t="s">
        <v>525</v>
      </c>
      <c r="P63" s="149">
        <f t="shared" si="1"/>
        <v>4110</v>
      </c>
      <c r="Q63" s="30" t="s">
        <v>384</v>
      </c>
      <c r="R63" s="30" t="s">
        <v>238</v>
      </c>
      <c r="S63" s="30" t="s">
        <v>364</v>
      </c>
      <c r="T63" s="30" t="s">
        <v>385</v>
      </c>
      <c r="U63" s="162">
        <v>45219</v>
      </c>
      <c r="V63" s="107">
        <v>45170</v>
      </c>
      <c r="W63" s="107">
        <f>Tabla2[[#This Row],[Fecha]]-DAY(Tabla2[[#This Row],[Fecha]])+1</f>
        <v>45170</v>
      </c>
      <c r="X63" s="96" t="s">
        <v>624</v>
      </c>
    </row>
    <row r="64" spans="1:24" x14ac:dyDescent="0.3">
      <c r="A64" s="30" t="s">
        <v>871</v>
      </c>
      <c r="B64" s="95" t="s">
        <v>342</v>
      </c>
      <c r="C64" s="30">
        <v>2023</v>
      </c>
      <c r="D64" s="107">
        <v>45170</v>
      </c>
      <c r="E64" s="30" t="s">
        <v>621</v>
      </c>
      <c r="F64" s="30" t="s">
        <v>620</v>
      </c>
      <c r="G64" s="30" t="s">
        <v>638</v>
      </c>
      <c r="H64" s="107">
        <v>45139</v>
      </c>
      <c r="I64" s="30" t="s">
        <v>629</v>
      </c>
      <c r="J64" s="73" t="s">
        <v>623</v>
      </c>
      <c r="K64" s="30">
        <v>1</v>
      </c>
      <c r="L64" s="73" t="s">
        <v>390</v>
      </c>
      <c r="M64" s="149">
        <v>700</v>
      </c>
      <c r="N64" s="149">
        <v>700</v>
      </c>
      <c r="O64" s="163" t="s">
        <v>525</v>
      </c>
      <c r="P64" s="149">
        <f t="shared" si="1"/>
        <v>700</v>
      </c>
      <c r="Q64" s="30" t="s">
        <v>384</v>
      </c>
      <c r="R64" s="30" t="s">
        <v>238</v>
      </c>
      <c r="S64" s="30" t="s">
        <v>364</v>
      </c>
      <c r="T64" s="30" t="s">
        <v>385</v>
      </c>
      <c r="U64" s="30"/>
      <c r="V64" s="107">
        <v>45170</v>
      </c>
      <c r="W64" s="107">
        <f>Tabla2[[#This Row],[Fecha]]-DAY(Tabla2[[#This Row],[Fecha]])+1</f>
        <v>45170</v>
      </c>
      <c r="X64" s="96" t="s">
        <v>624</v>
      </c>
    </row>
    <row r="65" spans="1:24" x14ac:dyDescent="0.3">
      <c r="A65" s="30" t="s">
        <v>872</v>
      </c>
      <c r="B65" s="95" t="str">
        <f>+""</f>
        <v/>
      </c>
      <c r="C65" s="30">
        <v>2023</v>
      </c>
      <c r="D65" s="107">
        <v>45200</v>
      </c>
      <c r="E65" s="30" t="s">
        <v>367</v>
      </c>
      <c r="F65" s="30"/>
      <c r="G65" s="30" t="s">
        <v>653</v>
      </c>
      <c r="H65" s="107"/>
      <c r="I65" s="30" t="s">
        <v>632</v>
      </c>
      <c r="J65" s="73" t="s">
        <v>446</v>
      </c>
      <c r="K65" s="30">
        <v>9</v>
      </c>
      <c r="L65" s="73" t="s">
        <v>499</v>
      </c>
      <c r="M65" s="149">
        <v>5100</v>
      </c>
      <c r="N65" s="149">
        <v>61200</v>
      </c>
      <c r="O65" s="163" t="s">
        <v>525</v>
      </c>
      <c r="P65" s="149">
        <f t="shared" si="1"/>
        <v>5100</v>
      </c>
      <c r="Q65" s="30" t="s">
        <v>321</v>
      </c>
      <c r="R65" s="30" t="s">
        <v>238</v>
      </c>
      <c r="S65" s="30" t="s">
        <v>243</v>
      </c>
      <c r="T65" s="30" t="s">
        <v>385</v>
      </c>
      <c r="U65" s="162">
        <v>45232</v>
      </c>
      <c r="V65" s="107">
        <v>45200</v>
      </c>
      <c r="W65" s="107">
        <f>Tabla2[[#This Row],[Fecha]]-DAY(Tabla2[[#This Row],[Fecha]])+1</f>
        <v>45200</v>
      </c>
      <c r="X65" s="96"/>
    </row>
    <row r="66" spans="1:24" x14ac:dyDescent="0.3">
      <c r="A66" s="30" t="s">
        <v>873</v>
      </c>
      <c r="B66" s="77" t="s">
        <v>337</v>
      </c>
      <c r="C66" s="30">
        <v>2023</v>
      </c>
      <c r="D66" s="107">
        <v>45444</v>
      </c>
      <c r="E66" s="30" t="s">
        <v>367</v>
      </c>
      <c r="F66" s="30" t="s">
        <v>466</v>
      </c>
      <c r="G66" s="30" t="s">
        <v>1011</v>
      </c>
      <c r="H66" s="107">
        <v>44986</v>
      </c>
      <c r="I66" s="30" t="s">
        <v>1039</v>
      </c>
      <c r="J66" s="73" t="s">
        <v>469</v>
      </c>
      <c r="K66" s="30">
        <v>6</v>
      </c>
      <c r="L66" s="73" t="s">
        <v>507</v>
      </c>
      <c r="M66" s="149">
        <f>N66*0.7/5</f>
        <v>5460</v>
      </c>
      <c r="N66" s="149">
        <v>39000</v>
      </c>
      <c r="O66" s="163" t="s">
        <v>525</v>
      </c>
      <c r="P66" s="149">
        <f t="shared" si="1"/>
        <v>5460</v>
      </c>
      <c r="Q66" s="30" t="s">
        <v>384</v>
      </c>
      <c r="R66" s="30" t="s">
        <v>238</v>
      </c>
      <c r="S66" s="30" t="s">
        <v>21</v>
      </c>
      <c r="T66" s="30" t="s">
        <v>462</v>
      </c>
      <c r="U66" s="162">
        <v>45484</v>
      </c>
      <c r="V66" s="107">
        <v>45484</v>
      </c>
      <c r="W66" s="107">
        <f>Tabla2[[#This Row],[Fecha]]-DAY(Tabla2[[#This Row],[Fecha]])+1</f>
        <v>45444</v>
      </c>
      <c r="X66" s="96" t="s">
        <v>522</v>
      </c>
    </row>
    <row r="67" spans="1:24" s="1" customFormat="1" x14ac:dyDescent="0.3">
      <c r="A67" s="30" t="s">
        <v>874</v>
      </c>
      <c r="B67" s="77" t="s">
        <v>339</v>
      </c>
      <c r="C67" s="30">
        <v>2023</v>
      </c>
      <c r="D67" s="107">
        <v>45200</v>
      </c>
      <c r="E67" s="30" t="s">
        <v>367</v>
      </c>
      <c r="F67" s="30" t="s">
        <v>617</v>
      </c>
      <c r="G67" s="30" t="s">
        <v>707</v>
      </c>
      <c r="H67" s="107">
        <v>45139</v>
      </c>
      <c r="I67" s="30" t="s">
        <v>630</v>
      </c>
      <c r="J67" s="73" t="s">
        <v>616</v>
      </c>
      <c r="K67" s="30">
        <v>2</v>
      </c>
      <c r="L67" s="73" t="s">
        <v>619</v>
      </c>
      <c r="M67" s="149">
        <v>4640</v>
      </c>
      <c r="N67" s="149">
        <v>9280</v>
      </c>
      <c r="O67" s="163" t="s">
        <v>525</v>
      </c>
      <c r="P67" s="149">
        <f t="shared" ref="P67:P95" si="2">IF(O67="SOL",M67,M67*$J$1)</f>
        <v>4640</v>
      </c>
      <c r="Q67" s="30" t="s">
        <v>384</v>
      </c>
      <c r="R67" s="30" t="s">
        <v>238</v>
      </c>
      <c r="S67" s="30" t="s">
        <v>21</v>
      </c>
      <c r="T67" s="30" t="s">
        <v>385</v>
      </c>
      <c r="U67" s="162">
        <v>45274</v>
      </c>
      <c r="V67" s="107">
        <v>45200</v>
      </c>
      <c r="W67" s="107">
        <f>Tabla2[[#This Row],[Fecha]]-DAY(Tabla2[[#This Row],[Fecha]])+1</f>
        <v>45200</v>
      </c>
      <c r="X67" s="96" t="s">
        <v>523</v>
      </c>
    </row>
    <row r="68" spans="1:24" x14ac:dyDescent="0.3">
      <c r="A68" s="30" t="s">
        <v>875</v>
      </c>
      <c r="B68" s="95" t="s">
        <v>342</v>
      </c>
      <c r="C68" s="30">
        <v>2023</v>
      </c>
      <c r="D68" s="107">
        <v>45200</v>
      </c>
      <c r="E68" s="30" t="s">
        <v>367</v>
      </c>
      <c r="F68" s="30" t="s">
        <v>620</v>
      </c>
      <c r="G68" s="30" t="s">
        <v>669</v>
      </c>
      <c r="H68" s="107">
        <v>45139</v>
      </c>
      <c r="I68" s="30" t="s">
        <v>631</v>
      </c>
      <c r="J68" s="73" t="s">
        <v>623</v>
      </c>
      <c r="K68" s="30">
        <v>3</v>
      </c>
      <c r="L68" s="73" t="s">
        <v>626</v>
      </c>
      <c r="M68" s="149">
        <f>+Tabla2[[#This Row],[Total cuotas]]*35%</f>
        <v>4795</v>
      </c>
      <c r="N68" s="149">
        <v>13700</v>
      </c>
      <c r="O68" s="163" t="s">
        <v>525</v>
      </c>
      <c r="P68" s="149">
        <f t="shared" si="2"/>
        <v>4795</v>
      </c>
      <c r="Q68" s="30" t="s">
        <v>384</v>
      </c>
      <c r="R68" s="30" t="s">
        <v>238</v>
      </c>
      <c r="S68" s="30" t="s">
        <v>364</v>
      </c>
      <c r="T68" s="30" t="s">
        <v>385</v>
      </c>
      <c r="U68" s="162">
        <v>45241</v>
      </c>
      <c r="V68" s="107">
        <v>45200</v>
      </c>
      <c r="W68" s="107">
        <f>Tabla2[[#This Row],[Fecha]]-DAY(Tabla2[[#This Row],[Fecha]])+1</f>
        <v>45200</v>
      </c>
      <c r="X68" s="96" t="s">
        <v>624</v>
      </c>
    </row>
    <row r="69" spans="1:24" x14ac:dyDescent="0.3">
      <c r="A69" s="30" t="s">
        <v>876</v>
      </c>
      <c r="B69" s="77" t="s">
        <v>349</v>
      </c>
      <c r="C69" s="30">
        <v>2023</v>
      </c>
      <c r="D69" s="107">
        <v>45200</v>
      </c>
      <c r="E69" s="30" t="s">
        <v>367</v>
      </c>
      <c r="F69" s="30" t="s">
        <v>622</v>
      </c>
      <c r="G69" s="30" t="s">
        <v>673</v>
      </c>
      <c r="H69" s="107">
        <v>45170</v>
      </c>
      <c r="I69" s="30" t="s">
        <v>656</v>
      </c>
      <c r="J69" s="73" t="s">
        <v>652</v>
      </c>
      <c r="K69" s="30">
        <v>2</v>
      </c>
      <c r="L69" s="73" t="s">
        <v>655</v>
      </c>
      <c r="M69" s="149">
        <f>+Tabla2[[#This Row],[Total cuotas]]*0.5</f>
        <v>4840</v>
      </c>
      <c r="N69" s="149">
        <v>9680</v>
      </c>
      <c r="O69" s="163" t="s">
        <v>525</v>
      </c>
      <c r="P69" s="149">
        <f t="shared" si="2"/>
        <v>4840</v>
      </c>
      <c r="Q69" s="30" t="s">
        <v>384</v>
      </c>
      <c r="R69" s="30" t="s">
        <v>238</v>
      </c>
      <c r="S69" s="30" t="s">
        <v>15</v>
      </c>
      <c r="T69" s="30" t="s">
        <v>385</v>
      </c>
      <c r="U69" s="162">
        <v>45242</v>
      </c>
      <c r="V69" s="107">
        <v>45200</v>
      </c>
      <c r="W69" s="107">
        <f>Tabla2[[#This Row],[Fecha]]-DAY(Tabla2[[#This Row],[Fecha]])+1</f>
        <v>45200</v>
      </c>
      <c r="X69" s="96" t="s">
        <v>650</v>
      </c>
    </row>
    <row r="70" spans="1:24" x14ac:dyDescent="0.3">
      <c r="A70" s="30" t="s">
        <v>877</v>
      </c>
      <c r="B70" s="77" t="s">
        <v>349</v>
      </c>
      <c r="C70" s="30">
        <v>2023</v>
      </c>
      <c r="D70" s="107">
        <v>45200</v>
      </c>
      <c r="E70" s="30" t="s">
        <v>380</v>
      </c>
      <c r="F70" s="30" t="s">
        <v>651</v>
      </c>
      <c r="G70" s="30" t="s">
        <v>720</v>
      </c>
      <c r="H70" s="107">
        <v>45170</v>
      </c>
      <c r="I70" s="30" t="s">
        <v>660</v>
      </c>
      <c r="J70" s="73" t="s">
        <v>668</v>
      </c>
      <c r="K70" s="30">
        <v>1</v>
      </c>
      <c r="L70" s="73" t="s">
        <v>657</v>
      </c>
      <c r="M70" s="149">
        <f>+Tabla2[[#This Row],[Total cuotas]]</f>
        <v>1170</v>
      </c>
      <c r="N70" s="149">
        <v>1170</v>
      </c>
      <c r="O70" s="163" t="s">
        <v>525</v>
      </c>
      <c r="P70" s="149">
        <f t="shared" si="2"/>
        <v>1170</v>
      </c>
      <c r="Q70" s="30" t="s">
        <v>384</v>
      </c>
      <c r="R70" s="30" t="s">
        <v>238</v>
      </c>
      <c r="S70" s="30" t="s">
        <v>15</v>
      </c>
      <c r="T70" s="30" t="s">
        <v>385</v>
      </c>
      <c r="U70" s="162">
        <v>45294</v>
      </c>
      <c r="V70" s="107">
        <v>45261</v>
      </c>
      <c r="W70" s="107">
        <f>Tabla2[[#This Row],[Fecha]]-DAY(Tabla2[[#This Row],[Fecha]])+1</f>
        <v>45200</v>
      </c>
      <c r="X70" s="96" t="s">
        <v>650</v>
      </c>
    </row>
    <row r="71" spans="1:24" x14ac:dyDescent="0.3">
      <c r="A71" s="30" t="s">
        <v>878</v>
      </c>
      <c r="B71" s="95" t="s">
        <v>348</v>
      </c>
      <c r="C71" s="30">
        <v>2023</v>
      </c>
      <c r="D71" s="107">
        <v>45200</v>
      </c>
      <c r="E71" s="30" t="s">
        <v>367</v>
      </c>
      <c r="F71" s="30" t="s">
        <v>664</v>
      </c>
      <c r="G71" s="30" t="s">
        <v>670</v>
      </c>
      <c r="H71" s="107">
        <v>45200</v>
      </c>
      <c r="I71" s="30" t="s">
        <v>666</v>
      </c>
      <c r="J71" s="73" t="s">
        <v>661</v>
      </c>
      <c r="K71" s="30">
        <v>2</v>
      </c>
      <c r="L71" s="73" t="s">
        <v>662</v>
      </c>
      <c r="M71" s="149">
        <f>+Tabla2[[#This Row],[Total cuotas]]*0.5</f>
        <v>5600</v>
      </c>
      <c r="N71" s="149">
        <v>11200</v>
      </c>
      <c r="O71" s="163" t="s">
        <v>525</v>
      </c>
      <c r="P71" s="149">
        <f t="shared" si="2"/>
        <v>5600</v>
      </c>
      <c r="Q71" s="30" t="s">
        <v>384</v>
      </c>
      <c r="R71" s="30" t="s">
        <v>238</v>
      </c>
      <c r="S71" s="30" t="s">
        <v>243</v>
      </c>
      <c r="T71" s="30" t="s">
        <v>385</v>
      </c>
      <c r="U71" s="162">
        <v>45241</v>
      </c>
      <c r="V71" s="107">
        <v>44927</v>
      </c>
      <c r="W71" s="107">
        <f>Tabla2[[#This Row],[Fecha]]-DAY(Tabla2[[#This Row],[Fecha]])+1</f>
        <v>45200</v>
      </c>
      <c r="X71" s="96"/>
    </row>
    <row r="72" spans="1:24" x14ac:dyDescent="0.3">
      <c r="A72" s="30" t="s">
        <v>879</v>
      </c>
      <c r="B72" s="95" t="str">
        <f>+""</f>
        <v/>
      </c>
      <c r="C72" s="30">
        <v>2023</v>
      </c>
      <c r="D72" s="107">
        <v>45202</v>
      </c>
      <c r="E72" s="30" t="s">
        <v>471</v>
      </c>
      <c r="F72" s="30"/>
      <c r="G72" s="30" t="s">
        <v>667</v>
      </c>
      <c r="H72" s="107">
        <v>45200</v>
      </c>
      <c r="I72" s="30"/>
      <c r="J72" s="164" t="s">
        <v>705</v>
      </c>
      <c r="K72" s="30">
        <v>1</v>
      </c>
      <c r="L72" s="73" t="s">
        <v>390</v>
      </c>
      <c r="M72" s="149">
        <v>7600</v>
      </c>
      <c r="N72" s="149">
        <v>7600</v>
      </c>
      <c r="O72" s="163" t="s">
        <v>526</v>
      </c>
      <c r="P72" s="149">
        <f t="shared" si="2"/>
        <v>63080.000000000007</v>
      </c>
      <c r="Q72" s="30" t="s">
        <v>321</v>
      </c>
      <c r="R72" s="30" t="s">
        <v>238</v>
      </c>
      <c r="S72" s="30" t="s">
        <v>243</v>
      </c>
      <c r="T72" s="30" t="s">
        <v>385</v>
      </c>
      <c r="U72" s="30"/>
      <c r="V72" s="107">
        <v>45200</v>
      </c>
      <c r="W72" s="107">
        <f>Tabla2[[#This Row],[Fecha]]-DAY(Tabla2[[#This Row],[Fecha]])+1</f>
        <v>45200</v>
      </c>
      <c r="X72" s="96"/>
    </row>
    <row r="73" spans="1:24" x14ac:dyDescent="0.3">
      <c r="A73" s="30" t="s">
        <v>880</v>
      </c>
      <c r="B73" s="95" t="str">
        <f>+""</f>
        <v/>
      </c>
      <c r="C73" s="30">
        <v>2023</v>
      </c>
      <c r="D73" s="107">
        <v>45231</v>
      </c>
      <c r="E73" s="30" t="s">
        <v>367</v>
      </c>
      <c r="F73" s="30"/>
      <c r="G73" s="30" t="s">
        <v>702</v>
      </c>
      <c r="H73" s="107"/>
      <c r="I73" s="30" t="s">
        <v>632</v>
      </c>
      <c r="J73" s="73" t="s">
        <v>446</v>
      </c>
      <c r="K73" s="30">
        <v>10</v>
      </c>
      <c r="L73" s="73" t="s">
        <v>500</v>
      </c>
      <c r="M73" s="149">
        <v>5100</v>
      </c>
      <c r="N73" s="149">
        <v>61200</v>
      </c>
      <c r="O73" s="163" t="s">
        <v>525</v>
      </c>
      <c r="P73" s="149">
        <f t="shared" si="2"/>
        <v>5100</v>
      </c>
      <c r="Q73" s="30" t="s">
        <v>321</v>
      </c>
      <c r="R73" s="30" t="s">
        <v>238</v>
      </c>
      <c r="S73" s="30" t="s">
        <v>243</v>
      </c>
      <c r="T73" s="30" t="s">
        <v>385</v>
      </c>
      <c r="U73" s="162">
        <v>45263</v>
      </c>
      <c r="V73" s="107">
        <v>45231</v>
      </c>
      <c r="W73" s="107">
        <f>Tabla2[[#This Row],[Fecha]]-DAY(Tabla2[[#This Row],[Fecha]])+1</f>
        <v>45231</v>
      </c>
      <c r="X73" s="96"/>
    </row>
    <row r="74" spans="1:24" x14ac:dyDescent="0.3">
      <c r="A74" s="30" t="s">
        <v>881</v>
      </c>
      <c r="B74" s="95" t="s">
        <v>342</v>
      </c>
      <c r="C74" s="30">
        <v>2023</v>
      </c>
      <c r="D74" s="107">
        <v>45231</v>
      </c>
      <c r="E74" s="30" t="s">
        <v>367</v>
      </c>
      <c r="F74" s="30" t="s">
        <v>620</v>
      </c>
      <c r="G74" s="30" t="s">
        <v>757</v>
      </c>
      <c r="H74" s="107">
        <v>45139</v>
      </c>
      <c r="I74" s="30" t="s">
        <v>631</v>
      </c>
      <c r="J74" s="73" t="s">
        <v>623</v>
      </c>
      <c r="K74" s="30">
        <v>3</v>
      </c>
      <c r="L74" s="73" t="s">
        <v>627</v>
      </c>
      <c r="M74" s="149">
        <f>+Tabla2[[#This Row],[Total cuotas]]*35%</f>
        <v>4795</v>
      </c>
      <c r="N74" s="149">
        <v>13700</v>
      </c>
      <c r="O74" s="163" t="s">
        <v>525</v>
      </c>
      <c r="P74" s="149">
        <f t="shared" si="2"/>
        <v>4795</v>
      </c>
      <c r="Q74" s="30" t="s">
        <v>384</v>
      </c>
      <c r="R74" s="30" t="s">
        <v>238</v>
      </c>
      <c r="S74" s="30" t="s">
        <v>364</v>
      </c>
      <c r="T74" s="30" t="s">
        <v>385</v>
      </c>
      <c r="U74" s="162">
        <v>45306</v>
      </c>
      <c r="V74" s="107">
        <v>45292</v>
      </c>
      <c r="W74" s="107">
        <f>Tabla2[[#This Row],[Fecha]]-DAY(Tabla2[[#This Row],[Fecha]])+1</f>
        <v>45231</v>
      </c>
      <c r="X74" s="96" t="s">
        <v>624</v>
      </c>
    </row>
    <row r="75" spans="1:24" x14ac:dyDescent="0.3">
      <c r="A75" s="30" t="s">
        <v>882</v>
      </c>
      <c r="B75" s="77" t="s">
        <v>349</v>
      </c>
      <c r="C75" s="30">
        <v>2023</v>
      </c>
      <c r="D75" s="107">
        <v>45231</v>
      </c>
      <c r="E75" s="30" t="s">
        <v>367</v>
      </c>
      <c r="F75" s="30" t="s">
        <v>622</v>
      </c>
      <c r="G75" s="30" t="s">
        <v>750</v>
      </c>
      <c r="H75" s="107">
        <v>45170</v>
      </c>
      <c r="I75" s="30" t="s">
        <v>656</v>
      </c>
      <c r="J75" s="73" t="s">
        <v>652</v>
      </c>
      <c r="K75" s="30">
        <v>2</v>
      </c>
      <c r="L75" s="73" t="s">
        <v>654</v>
      </c>
      <c r="M75" s="149">
        <f>+Tabla2[[#This Row],[Total cuotas]]*0.5</f>
        <v>4840</v>
      </c>
      <c r="N75" s="149">
        <v>9680</v>
      </c>
      <c r="O75" s="163" t="s">
        <v>525</v>
      </c>
      <c r="P75" s="149">
        <f t="shared" si="2"/>
        <v>4840</v>
      </c>
      <c r="Q75" s="30" t="s">
        <v>384</v>
      </c>
      <c r="R75" s="30" t="s">
        <v>238</v>
      </c>
      <c r="S75" s="30" t="s">
        <v>15</v>
      </c>
      <c r="T75" s="30" t="s">
        <v>385</v>
      </c>
      <c r="U75" s="162">
        <v>45306</v>
      </c>
      <c r="V75" s="107">
        <v>45302</v>
      </c>
      <c r="W75" s="107">
        <f>Tabla2[[#This Row],[Fecha]]-DAY(Tabla2[[#This Row],[Fecha]])+1</f>
        <v>45231</v>
      </c>
      <c r="X75" s="96" t="s">
        <v>650</v>
      </c>
    </row>
    <row r="76" spans="1:24" s="1" customFormat="1" x14ac:dyDescent="0.3">
      <c r="A76" s="30" t="s">
        <v>883</v>
      </c>
      <c r="B76" s="95" t="s">
        <v>340</v>
      </c>
      <c r="C76" s="30">
        <v>2023</v>
      </c>
      <c r="D76" s="107">
        <v>45231</v>
      </c>
      <c r="E76" s="30" t="s">
        <v>367</v>
      </c>
      <c r="F76" s="30" t="s">
        <v>674</v>
      </c>
      <c r="G76" s="30" t="s">
        <v>708</v>
      </c>
      <c r="H76" s="107">
        <v>45200</v>
      </c>
      <c r="I76" s="30" t="s">
        <v>704</v>
      </c>
      <c r="J76" s="73" t="s">
        <v>675</v>
      </c>
      <c r="K76" s="30">
        <v>2</v>
      </c>
      <c r="L76" s="73" t="s">
        <v>662</v>
      </c>
      <c r="M76" s="149">
        <f>+Tabla2[[#This Row],[Total cuotas]]*0.5</f>
        <v>7150</v>
      </c>
      <c r="N76" s="149">
        <v>14300</v>
      </c>
      <c r="O76" s="163" t="s">
        <v>525</v>
      </c>
      <c r="P76" s="149">
        <f t="shared" si="2"/>
        <v>7150</v>
      </c>
      <c r="Q76" s="30" t="s">
        <v>384</v>
      </c>
      <c r="R76" s="30" t="s">
        <v>238</v>
      </c>
      <c r="S76" s="30" t="s">
        <v>110</v>
      </c>
      <c r="T76" s="30" t="s">
        <v>385</v>
      </c>
      <c r="U76" s="162">
        <v>45274</v>
      </c>
      <c r="V76" s="107">
        <v>45231</v>
      </c>
      <c r="W76" s="107">
        <f>Tabla2[[#This Row],[Fecha]]-DAY(Tabla2[[#This Row],[Fecha]])+1</f>
        <v>45231</v>
      </c>
      <c r="X76" s="96"/>
    </row>
    <row r="77" spans="1:24" s="1" customFormat="1" x14ac:dyDescent="0.3">
      <c r="A77" s="30" t="s">
        <v>884</v>
      </c>
      <c r="B77" s="95" t="s">
        <v>342</v>
      </c>
      <c r="C77" s="30">
        <v>2023</v>
      </c>
      <c r="D77" s="107">
        <v>45231</v>
      </c>
      <c r="E77" s="30" t="s">
        <v>367</v>
      </c>
      <c r="F77" s="30" t="s">
        <v>620</v>
      </c>
      <c r="G77" s="30" t="s">
        <v>709</v>
      </c>
      <c r="H77" s="107">
        <v>45200</v>
      </c>
      <c r="I77" s="30" t="s">
        <v>703</v>
      </c>
      <c r="J77" s="73" t="s">
        <v>797</v>
      </c>
      <c r="K77" s="30">
        <v>3</v>
      </c>
      <c r="L77" s="73" t="s">
        <v>676</v>
      </c>
      <c r="M77" s="149">
        <f>+Tabla2[[#This Row],[Total cuotas]]*0.3</f>
        <v>3000</v>
      </c>
      <c r="N77" s="149">
        <v>10000</v>
      </c>
      <c r="O77" s="163" t="s">
        <v>525</v>
      </c>
      <c r="P77" s="149">
        <f t="shared" si="2"/>
        <v>3000</v>
      </c>
      <c r="Q77" s="30" t="s">
        <v>384</v>
      </c>
      <c r="R77" s="30" t="s">
        <v>238</v>
      </c>
      <c r="S77" s="30" t="s">
        <v>364</v>
      </c>
      <c r="T77" s="30" t="s">
        <v>385</v>
      </c>
      <c r="U77" s="162">
        <v>45274</v>
      </c>
      <c r="V77" s="107">
        <v>45231</v>
      </c>
      <c r="W77" s="107">
        <f>Tabla2[[#This Row],[Fecha]]-DAY(Tabla2[[#This Row],[Fecha]])+1</f>
        <v>45231</v>
      </c>
      <c r="X77" s="96" t="s">
        <v>624</v>
      </c>
    </row>
    <row r="78" spans="1:24" x14ac:dyDescent="0.3">
      <c r="A78" s="30" t="s">
        <v>885</v>
      </c>
      <c r="B78" s="95" t="str">
        <f>+""</f>
        <v/>
      </c>
      <c r="C78" s="30">
        <v>2023</v>
      </c>
      <c r="D78" s="107">
        <v>45261</v>
      </c>
      <c r="E78" s="30" t="s">
        <v>367</v>
      </c>
      <c r="F78" s="30"/>
      <c r="G78" s="30" t="s">
        <v>729</v>
      </c>
      <c r="H78" s="107"/>
      <c r="I78" s="30" t="s">
        <v>632</v>
      </c>
      <c r="J78" s="73" t="s">
        <v>446</v>
      </c>
      <c r="K78" s="30">
        <v>11</v>
      </c>
      <c r="L78" s="73" t="s">
        <v>501</v>
      </c>
      <c r="M78" s="149">
        <v>5100</v>
      </c>
      <c r="N78" s="149">
        <v>61200</v>
      </c>
      <c r="O78" s="163" t="s">
        <v>525</v>
      </c>
      <c r="P78" s="149">
        <f t="shared" si="2"/>
        <v>5100</v>
      </c>
      <c r="Q78" s="30" t="s">
        <v>321</v>
      </c>
      <c r="R78" s="30" t="s">
        <v>238</v>
      </c>
      <c r="S78" s="30" t="s">
        <v>243</v>
      </c>
      <c r="T78" s="30" t="s">
        <v>385</v>
      </c>
      <c r="U78" s="162">
        <v>45296</v>
      </c>
      <c r="V78" s="107">
        <v>45261</v>
      </c>
      <c r="W78" s="107">
        <f>Tabla2[[#This Row],[Fecha]]-DAY(Tabla2[[#This Row],[Fecha]])+1</f>
        <v>45261</v>
      </c>
      <c r="X78" s="96"/>
    </row>
    <row r="79" spans="1:24" x14ac:dyDescent="0.3">
      <c r="A79" s="30" t="s">
        <v>886</v>
      </c>
      <c r="B79" s="95" t="s">
        <v>348</v>
      </c>
      <c r="C79" s="30">
        <v>2023</v>
      </c>
      <c r="D79" s="221">
        <v>45505</v>
      </c>
      <c r="E79" s="30" t="s">
        <v>367</v>
      </c>
      <c r="F79" s="30" t="s">
        <v>664</v>
      </c>
      <c r="G79" s="30"/>
      <c r="H79" s="107">
        <v>45200</v>
      </c>
      <c r="I79" s="30" t="s">
        <v>666</v>
      </c>
      <c r="J79" s="73" t="s">
        <v>661</v>
      </c>
      <c r="K79" s="30">
        <v>2</v>
      </c>
      <c r="L79" s="73" t="s">
        <v>663</v>
      </c>
      <c r="M79" s="149">
        <f>+Tabla2[[#This Row],[Total cuotas]]*0.5</f>
        <v>5600</v>
      </c>
      <c r="N79" s="149">
        <v>11200</v>
      </c>
      <c r="O79" s="163" t="s">
        <v>525</v>
      </c>
      <c r="P79" s="149">
        <f t="shared" si="2"/>
        <v>5600</v>
      </c>
      <c r="Q79" s="30" t="s">
        <v>384</v>
      </c>
      <c r="R79" s="30" t="s">
        <v>238</v>
      </c>
      <c r="S79" s="30" t="s">
        <v>243</v>
      </c>
      <c r="T79" s="30"/>
      <c r="U79" s="30"/>
      <c r="V79" s="107"/>
      <c r="W79" s="107">
        <f>Tabla2[[#This Row],[Fecha]]-DAY(Tabla2[[#This Row],[Fecha]])+1</f>
        <v>45505</v>
      </c>
      <c r="X79" s="96"/>
    </row>
    <row r="80" spans="1:24" x14ac:dyDescent="0.3">
      <c r="A80" s="30" t="s">
        <v>887</v>
      </c>
      <c r="B80" s="95" t="s">
        <v>342</v>
      </c>
      <c r="C80" s="30">
        <v>2023</v>
      </c>
      <c r="D80" s="107">
        <v>45261</v>
      </c>
      <c r="E80" s="30" t="s">
        <v>367</v>
      </c>
      <c r="F80" s="30" t="s">
        <v>620</v>
      </c>
      <c r="G80" s="30" t="s">
        <v>751</v>
      </c>
      <c r="H80" s="107">
        <v>45200</v>
      </c>
      <c r="I80" s="30" t="s">
        <v>703</v>
      </c>
      <c r="J80" s="73" t="s">
        <v>797</v>
      </c>
      <c r="K80" s="30">
        <v>3</v>
      </c>
      <c r="L80" s="73" t="s">
        <v>677</v>
      </c>
      <c r="M80" s="149">
        <f>+Tabla2[[#This Row],[Total cuotas]]*0.35</f>
        <v>3500</v>
      </c>
      <c r="N80" s="149">
        <v>10000</v>
      </c>
      <c r="O80" s="163" t="s">
        <v>525</v>
      </c>
      <c r="P80" s="149">
        <f t="shared" si="2"/>
        <v>3500</v>
      </c>
      <c r="Q80" s="30" t="s">
        <v>384</v>
      </c>
      <c r="R80" s="30" t="s">
        <v>238</v>
      </c>
      <c r="S80" s="30" t="s">
        <v>364</v>
      </c>
      <c r="T80" s="30" t="s">
        <v>385</v>
      </c>
      <c r="U80" s="162">
        <v>45306</v>
      </c>
      <c r="V80" s="107">
        <v>45292</v>
      </c>
      <c r="W80" s="107">
        <f>Tabla2[[#This Row],[Fecha]]-DAY(Tabla2[[#This Row],[Fecha]])+1</f>
        <v>45261</v>
      </c>
      <c r="X80" s="96" t="s">
        <v>624</v>
      </c>
    </row>
    <row r="81" spans="1:24" x14ac:dyDescent="0.3">
      <c r="A81" s="30" t="s">
        <v>888</v>
      </c>
      <c r="B81" s="77" t="s">
        <v>345</v>
      </c>
      <c r="C81" s="102">
        <v>2023</v>
      </c>
      <c r="D81" s="107">
        <v>45261</v>
      </c>
      <c r="E81" s="102" t="s">
        <v>367</v>
      </c>
      <c r="F81" s="30" t="s">
        <v>710</v>
      </c>
      <c r="G81" s="102" t="s">
        <v>752</v>
      </c>
      <c r="H81" s="107">
        <v>45231</v>
      </c>
      <c r="I81" s="102" t="s">
        <v>722</v>
      </c>
      <c r="J81" s="73" t="s">
        <v>714</v>
      </c>
      <c r="K81" s="102">
        <v>1</v>
      </c>
      <c r="L81" s="103" t="s">
        <v>662</v>
      </c>
      <c r="M81" s="167">
        <f>+Tabla2[[#This Row],[Total cuotas]]*0.5</f>
        <v>5550</v>
      </c>
      <c r="N81" s="104">
        <v>11100</v>
      </c>
      <c r="O81" s="105" t="s">
        <v>525</v>
      </c>
      <c r="P81" s="104">
        <f t="shared" si="2"/>
        <v>5550</v>
      </c>
      <c r="Q81" s="102" t="s">
        <v>384</v>
      </c>
      <c r="R81" s="102" t="s">
        <v>238</v>
      </c>
      <c r="S81" s="30" t="s">
        <v>243</v>
      </c>
      <c r="T81" s="30" t="s">
        <v>385</v>
      </c>
      <c r="U81" s="162">
        <v>45306</v>
      </c>
      <c r="V81" s="107">
        <v>45292</v>
      </c>
      <c r="W81" s="107">
        <f>Tabla2[[#This Row],[Fecha]]-DAY(Tabla2[[#This Row],[Fecha]])+1</f>
        <v>45261</v>
      </c>
      <c r="X81" s="96"/>
    </row>
    <row r="82" spans="1:24" x14ac:dyDescent="0.3">
      <c r="A82" s="30" t="s">
        <v>889</v>
      </c>
      <c r="B82" s="95" t="s">
        <v>347</v>
      </c>
      <c r="C82" s="102">
        <v>2023</v>
      </c>
      <c r="D82" s="107">
        <v>45261</v>
      </c>
      <c r="E82" s="102" t="s">
        <v>367</v>
      </c>
      <c r="F82" s="30" t="s">
        <v>711</v>
      </c>
      <c r="G82" s="30" t="s">
        <v>753</v>
      </c>
      <c r="H82" s="107">
        <v>45231</v>
      </c>
      <c r="I82" s="102" t="s">
        <v>723</v>
      </c>
      <c r="J82" s="103" t="s">
        <v>724</v>
      </c>
      <c r="K82" s="102">
        <v>1</v>
      </c>
      <c r="L82" s="103" t="s">
        <v>662</v>
      </c>
      <c r="M82" s="167">
        <f>+Tabla2[[#This Row],[Total cuotas]]*0.5</f>
        <v>6260</v>
      </c>
      <c r="N82" s="104">
        <v>12520</v>
      </c>
      <c r="O82" s="105" t="s">
        <v>525</v>
      </c>
      <c r="P82" s="104">
        <f t="shared" si="2"/>
        <v>6260</v>
      </c>
      <c r="Q82" s="102" t="s">
        <v>384</v>
      </c>
      <c r="R82" s="102" t="s">
        <v>238</v>
      </c>
      <c r="S82" s="30" t="s">
        <v>243</v>
      </c>
      <c r="T82" s="30" t="s">
        <v>385</v>
      </c>
      <c r="U82" s="162">
        <v>45306</v>
      </c>
      <c r="V82" s="107">
        <v>45292</v>
      </c>
      <c r="W82" s="153">
        <f>Tabla2[[#This Row],[Fecha]]-DAY(Tabla2[[#This Row],[Fecha]])+1</f>
        <v>45261</v>
      </c>
      <c r="X82" s="96"/>
    </row>
    <row r="83" spans="1:24" x14ac:dyDescent="0.3">
      <c r="A83" s="30" t="s">
        <v>890</v>
      </c>
      <c r="B83" s="95" t="s">
        <v>350</v>
      </c>
      <c r="C83" s="102">
        <v>2023</v>
      </c>
      <c r="D83" s="153">
        <v>45261</v>
      </c>
      <c r="E83" s="102" t="s">
        <v>367</v>
      </c>
      <c r="F83" s="30"/>
      <c r="G83" s="30" t="s">
        <v>754</v>
      </c>
      <c r="H83" s="107">
        <v>45231</v>
      </c>
      <c r="I83" s="102" t="s">
        <v>725</v>
      </c>
      <c r="J83" s="103" t="s">
        <v>712</v>
      </c>
      <c r="K83" s="102">
        <v>1</v>
      </c>
      <c r="L83" s="103" t="s">
        <v>662</v>
      </c>
      <c r="M83" s="167">
        <f>+Tabla2[[#This Row],[Total cuotas]]*0.5</f>
        <v>1850</v>
      </c>
      <c r="N83" s="104">
        <v>3700</v>
      </c>
      <c r="O83" s="105" t="s">
        <v>525</v>
      </c>
      <c r="P83" s="104">
        <f t="shared" si="2"/>
        <v>1850</v>
      </c>
      <c r="Q83" s="102" t="s">
        <v>384</v>
      </c>
      <c r="R83" s="102" t="s">
        <v>238</v>
      </c>
      <c r="S83" s="30" t="s">
        <v>243</v>
      </c>
      <c r="T83" s="30" t="s">
        <v>385</v>
      </c>
      <c r="U83" s="162">
        <v>45306</v>
      </c>
      <c r="V83" s="107">
        <v>45292</v>
      </c>
      <c r="W83" s="153">
        <f>Tabla2[[#This Row],[Fecha]]-DAY(Tabla2[[#This Row],[Fecha]])+1</f>
        <v>45261</v>
      </c>
      <c r="X83" s="96"/>
    </row>
    <row r="84" spans="1:24" ht="15.6" customHeight="1" x14ac:dyDescent="0.3">
      <c r="A84" s="30" t="s">
        <v>891</v>
      </c>
      <c r="B84" s="95" t="s">
        <v>347</v>
      </c>
      <c r="C84" s="30">
        <v>2023</v>
      </c>
      <c r="D84" s="107">
        <v>45261</v>
      </c>
      <c r="E84" s="30" t="s">
        <v>395</v>
      </c>
      <c r="F84" s="30" t="s">
        <v>715</v>
      </c>
      <c r="G84" s="30" t="s">
        <v>734</v>
      </c>
      <c r="H84" s="107">
        <v>45231</v>
      </c>
      <c r="I84" s="30" t="s">
        <v>726</v>
      </c>
      <c r="J84" s="73" t="s">
        <v>713</v>
      </c>
      <c r="K84" s="30"/>
      <c r="L84" s="73" t="s">
        <v>662</v>
      </c>
      <c r="M84" s="168">
        <f>+Tabla2[[#This Row],[Total cuotas]]*0.5</f>
        <v>1050</v>
      </c>
      <c r="N84" s="85">
        <v>2100</v>
      </c>
      <c r="O84" s="105" t="s">
        <v>526</v>
      </c>
      <c r="P84" s="74">
        <f t="shared" si="2"/>
        <v>8715</v>
      </c>
      <c r="Q84" s="102" t="s">
        <v>384</v>
      </c>
      <c r="R84" s="102" t="s">
        <v>238</v>
      </c>
      <c r="S84" s="30" t="s">
        <v>243</v>
      </c>
      <c r="T84" s="30" t="s">
        <v>385</v>
      </c>
      <c r="U84" s="162">
        <v>45294</v>
      </c>
      <c r="V84" s="107">
        <v>45282</v>
      </c>
      <c r="W84" s="107">
        <f>Tabla2[[#This Row],[Fecha]]-DAY(Tabla2[[#This Row],[Fecha]])+1</f>
        <v>45261</v>
      </c>
      <c r="X84" s="96"/>
    </row>
    <row r="85" spans="1:24" x14ac:dyDescent="0.3">
      <c r="A85" s="30" t="s">
        <v>892</v>
      </c>
      <c r="B85" s="95" t="s">
        <v>350</v>
      </c>
      <c r="C85" s="30">
        <v>2023</v>
      </c>
      <c r="D85" s="107">
        <v>45261</v>
      </c>
      <c r="E85" s="30" t="s">
        <v>380</v>
      </c>
      <c r="F85" s="30"/>
      <c r="G85" s="30" t="s">
        <v>738</v>
      </c>
      <c r="H85" s="107">
        <v>45231</v>
      </c>
      <c r="I85" s="30" t="s">
        <v>721</v>
      </c>
      <c r="J85" s="73" t="s">
        <v>718</v>
      </c>
      <c r="K85" s="30">
        <v>1</v>
      </c>
      <c r="L85" s="103" t="s">
        <v>390</v>
      </c>
      <c r="M85" s="149">
        <f>+Tabla2[[#This Row],[Total cuotas]]</f>
        <v>2210</v>
      </c>
      <c r="N85" s="74">
        <v>2210</v>
      </c>
      <c r="O85" s="105" t="s">
        <v>525</v>
      </c>
      <c r="P85" s="74">
        <f t="shared" si="2"/>
        <v>2210</v>
      </c>
      <c r="Q85" s="102" t="s">
        <v>384</v>
      </c>
      <c r="R85" s="102" t="s">
        <v>238</v>
      </c>
      <c r="S85" s="30" t="s">
        <v>243</v>
      </c>
      <c r="T85" s="30" t="s">
        <v>385</v>
      </c>
      <c r="U85" s="162">
        <v>45303</v>
      </c>
      <c r="V85" s="107">
        <v>45302</v>
      </c>
      <c r="W85" s="107">
        <f>Tabla2[[#This Row],[Fecha]]-DAY(Tabla2[[#This Row],[Fecha]])+1</f>
        <v>45261</v>
      </c>
      <c r="X85" s="96"/>
    </row>
    <row r="86" spans="1:24" x14ac:dyDescent="0.3">
      <c r="A86" s="30" t="s">
        <v>893</v>
      </c>
      <c r="B86" s="95" t="s">
        <v>340</v>
      </c>
      <c r="C86" s="30">
        <v>2023</v>
      </c>
      <c r="D86" s="221">
        <v>45505</v>
      </c>
      <c r="E86" s="30" t="s">
        <v>367</v>
      </c>
      <c r="F86" s="30" t="s">
        <v>674</v>
      </c>
      <c r="G86" s="30"/>
      <c r="H86" s="107">
        <v>45200</v>
      </c>
      <c r="I86" s="30" t="s">
        <v>704</v>
      </c>
      <c r="J86" s="73" t="s">
        <v>675</v>
      </c>
      <c r="K86" s="30">
        <v>2</v>
      </c>
      <c r="L86" s="73" t="s">
        <v>663</v>
      </c>
      <c r="M86" s="149">
        <f>+Tabla2[[#This Row],[Total cuotas]]*0.5</f>
        <v>7150</v>
      </c>
      <c r="N86" s="74">
        <v>14300</v>
      </c>
      <c r="O86" s="105" t="s">
        <v>525</v>
      </c>
      <c r="P86" s="74">
        <f t="shared" si="2"/>
        <v>7150</v>
      </c>
      <c r="Q86" s="102" t="s">
        <v>384</v>
      </c>
      <c r="R86" s="102" t="s">
        <v>238</v>
      </c>
      <c r="S86" s="30" t="s">
        <v>110</v>
      </c>
      <c r="T86" s="30"/>
      <c r="U86" s="30"/>
      <c r="V86" s="107"/>
      <c r="W86" s="107">
        <f>Tabla2[[#This Row],[Fecha]]-DAY(Tabla2[[#This Row],[Fecha]])+1</f>
        <v>45505</v>
      </c>
      <c r="X86" s="96"/>
    </row>
    <row r="87" spans="1:24" x14ac:dyDescent="0.3">
      <c r="A87" s="30" t="s">
        <v>894</v>
      </c>
      <c r="B87" s="95" t="s">
        <v>342</v>
      </c>
      <c r="C87" s="30">
        <v>2023</v>
      </c>
      <c r="D87" s="107">
        <v>45413</v>
      </c>
      <c r="E87" s="30" t="s">
        <v>367</v>
      </c>
      <c r="F87" s="30" t="s">
        <v>620</v>
      </c>
      <c r="G87" s="30" t="s">
        <v>1006</v>
      </c>
      <c r="H87" s="107">
        <v>45200</v>
      </c>
      <c r="I87" s="30" t="s">
        <v>703</v>
      </c>
      <c r="J87" s="73" t="s">
        <v>797</v>
      </c>
      <c r="K87" s="30">
        <v>3</v>
      </c>
      <c r="L87" s="103" t="s">
        <v>798</v>
      </c>
      <c r="M87" s="149">
        <f>+Tabla2[[#This Row],[Total cuotas]]*0.35</f>
        <v>3500</v>
      </c>
      <c r="N87" s="74">
        <v>10000</v>
      </c>
      <c r="O87" s="105" t="s">
        <v>525</v>
      </c>
      <c r="P87" s="74">
        <f t="shared" si="2"/>
        <v>3500</v>
      </c>
      <c r="Q87" s="102" t="s">
        <v>384</v>
      </c>
      <c r="R87" s="102" t="s">
        <v>238</v>
      </c>
      <c r="S87" s="30" t="s">
        <v>364</v>
      </c>
      <c r="T87" s="30" t="s">
        <v>385</v>
      </c>
      <c r="U87" s="162">
        <v>45463</v>
      </c>
      <c r="V87" s="107">
        <v>45456</v>
      </c>
      <c r="W87" s="107">
        <f>Tabla2[[#This Row],[Fecha]]-DAY(Tabla2[[#This Row],[Fecha]])+1</f>
        <v>45413</v>
      </c>
      <c r="X87" s="96" t="s">
        <v>624</v>
      </c>
    </row>
    <row r="88" spans="1:24" x14ac:dyDescent="0.3">
      <c r="A88" s="30" t="s">
        <v>895</v>
      </c>
      <c r="B88" s="95" t="str">
        <f>+""</f>
        <v/>
      </c>
      <c r="C88" s="30">
        <v>2023</v>
      </c>
      <c r="D88" s="107">
        <v>45295</v>
      </c>
      <c r="E88" s="30" t="s">
        <v>367</v>
      </c>
      <c r="F88" s="30"/>
      <c r="G88" s="30" t="s">
        <v>770</v>
      </c>
      <c r="H88" s="107"/>
      <c r="I88" s="30" t="s">
        <v>632</v>
      </c>
      <c r="J88" s="73" t="s">
        <v>446</v>
      </c>
      <c r="K88" s="30">
        <v>12</v>
      </c>
      <c r="L88" s="73" t="s">
        <v>502</v>
      </c>
      <c r="M88" s="149">
        <v>5100</v>
      </c>
      <c r="N88" s="149">
        <v>61200</v>
      </c>
      <c r="O88" s="165" t="s">
        <v>525</v>
      </c>
      <c r="P88" s="149">
        <f t="shared" si="2"/>
        <v>5100</v>
      </c>
      <c r="Q88" s="102" t="s">
        <v>321</v>
      </c>
      <c r="R88" s="102" t="s">
        <v>238</v>
      </c>
      <c r="S88" s="30" t="s">
        <v>243</v>
      </c>
      <c r="T88" s="30" t="s">
        <v>385</v>
      </c>
      <c r="U88" s="30"/>
      <c r="V88" s="107">
        <v>45316</v>
      </c>
      <c r="W88" s="107">
        <f>Tabla2[[#This Row],[Fecha]]-DAY(Tabla2[[#This Row],[Fecha]])+1</f>
        <v>45292</v>
      </c>
      <c r="X88" s="96"/>
    </row>
    <row r="89" spans="1:24" x14ac:dyDescent="0.3">
      <c r="A89" s="30" t="s">
        <v>896</v>
      </c>
      <c r="B89" s="77" t="s">
        <v>345</v>
      </c>
      <c r="C89" s="30">
        <v>2023</v>
      </c>
      <c r="D89" s="221">
        <v>45505</v>
      </c>
      <c r="E89" s="30" t="s">
        <v>367</v>
      </c>
      <c r="F89" s="30" t="s">
        <v>710</v>
      </c>
      <c r="G89" s="30"/>
      <c r="H89" s="107">
        <v>45231</v>
      </c>
      <c r="I89" s="30" t="s">
        <v>722</v>
      </c>
      <c r="J89" s="73" t="s">
        <v>714</v>
      </c>
      <c r="K89" s="30">
        <v>2</v>
      </c>
      <c r="L89" s="103" t="s">
        <v>663</v>
      </c>
      <c r="M89" s="149">
        <f>+Tabla2[[#This Row],[Total cuotas]]*0.5</f>
        <v>5550</v>
      </c>
      <c r="N89" s="74">
        <v>11100</v>
      </c>
      <c r="O89" s="105" t="s">
        <v>525</v>
      </c>
      <c r="P89" s="74">
        <f t="shared" si="2"/>
        <v>5550</v>
      </c>
      <c r="Q89" s="102" t="s">
        <v>384</v>
      </c>
      <c r="R89" s="102" t="s">
        <v>238</v>
      </c>
      <c r="S89" s="30" t="s">
        <v>243</v>
      </c>
      <c r="T89" s="30"/>
      <c r="U89" s="30"/>
      <c r="V89" s="107"/>
      <c r="W89" s="107">
        <f>Tabla2[[#This Row],[Fecha]]-DAY(Tabla2[[#This Row],[Fecha]])+1</f>
        <v>45505</v>
      </c>
      <c r="X89" s="96"/>
    </row>
    <row r="90" spans="1:24" x14ac:dyDescent="0.3">
      <c r="A90" s="30" t="s">
        <v>897</v>
      </c>
      <c r="B90" s="95" t="s">
        <v>347</v>
      </c>
      <c r="C90" s="30">
        <v>2023</v>
      </c>
      <c r="D90" s="221">
        <v>45505</v>
      </c>
      <c r="E90" s="30" t="s">
        <v>367</v>
      </c>
      <c r="F90" s="30" t="s">
        <v>711</v>
      </c>
      <c r="G90" s="30"/>
      <c r="H90" s="107">
        <v>45231</v>
      </c>
      <c r="I90" s="30" t="s">
        <v>723</v>
      </c>
      <c r="J90" s="73" t="s">
        <v>724</v>
      </c>
      <c r="K90" s="30">
        <v>2</v>
      </c>
      <c r="L90" s="73" t="s">
        <v>619</v>
      </c>
      <c r="M90" s="149">
        <f>+Tabla2[[#This Row],[Total cuotas]]*0.5</f>
        <v>6260</v>
      </c>
      <c r="N90" s="74">
        <v>12520</v>
      </c>
      <c r="O90" s="88" t="s">
        <v>525</v>
      </c>
      <c r="P90" s="74">
        <f t="shared" si="2"/>
        <v>6260</v>
      </c>
      <c r="Q90" s="102" t="s">
        <v>384</v>
      </c>
      <c r="R90" s="102" t="s">
        <v>238</v>
      </c>
      <c r="S90" s="30" t="s">
        <v>243</v>
      </c>
      <c r="T90" s="30"/>
      <c r="U90" s="30"/>
      <c r="V90" s="107"/>
      <c r="W90" s="107">
        <f>Tabla2[[#This Row],[Fecha]]-DAY(Tabla2[[#This Row],[Fecha]])+1</f>
        <v>45505</v>
      </c>
      <c r="X90" s="96"/>
    </row>
    <row r="91" spans="1:24" x14ac:dyDescent="0.3">
      <c r="A91" s="30" t="s">
        <v>898</v>
      </c>
      <c r="B91" s="95" t="s">
        <v>350</v>
      </c>
      <c r="C91" s="30">
        <v>2023</v>
      </c>
      <c r="D91" s="107">
        <v>45292</v>
      </c>
      <c r="E91" s="30" t="s">
        <v>367</v>
      </c>
      <c r="F91" s="30"/>
      <c r="G91" s="30" t="s">
        <v>774</v>
      </c>
      <c r="H91" s="107">
        <v>45231</v>
      </c>
      <c r="I91" s="30" t="s">
        <v>725</v>
      </c>
      <c r="J91" s="73" t="s">
        <v>712</v>
      </c>
      <c r="K91" s="30">
        <v>2</v>
      </c>
      <c r="L91" s="103" t="s">
        <v>663</v>
      </c>
      <c r="M91" s="149">
        <f>+Tabla2[[#This Row],[Total cuotas]]*0.5</f>
        <v>1850</v>
      </c>
      <c r="N91" s="74">
        <v>3700</v>
      </c>
      <c r="O91" s="88" t="s">
        <v>525</v>
      </c>
      <c r="P91" s="74">
        <f t="shared" si="2"/>
        <v>1850</v>
      </c>
      <c r="Q91" s="102" t="s">
        <v>384</v>
      </c>
      <c r="R91" s="102" t="s">
        <v>238</v>
      </c>
      <c r="S91" s="30" t="s">
        <v>243</v>
      </c>
      <c r="T91" s="30" t="str">
        <f>IF(AND(Tabla2[[#This Row],[F Venc]]&lt;&gt;"", Tabla2[[#This Row],[Fecha pago]]=""), "Pendiente", "Cancelado")</f>
        <v>Cancelado</v>
      </c>
      <c r="U91" s="162">
        <v>45346</v>
      </c>
      <c r="V91" s="107">
        <v>45344</v>
      </c>
      <c r="W91" s="107">
        <f>Tabla2[[#This Row],[Fecha]]-DAY(Tabla2[[#This Row],[Fecha]])+1</f>
        <v>45292</v>
      </c>
      <c r="X91" s="96"/>
    </row>
    <row r="92" spans="1:24" x14ac:dyDescent="0.3">
      <c r="A92" s="30" t="s">
        <v>899</v>
      </c>
      <c r="B92" s="95" t="s">
        <v>347</v>
      </c>
      <c r="C92" s="30">
        <v>2023</v>
      </c>
      <c r="D92" s="221">
        <v>45505</v>
      </c>
      <c r="E92" s="30" t="s">
        <v>395</v>
      </c>
      <c r="F92" s="30" t="s">
        <v>715</v>
      </c>
      <c r="G92" s="30"/>
      <c r="H92" s="107">
        <v>45231</v>
      </c>
      <c r="I92" s="30" t="s">
        <v>726</v>
      </c>
      <c r="J92" s="73" t="s">
        <v>713</v>
      </c>
      <c r="K92" s="30">
        <v>2</v>
      </c>
      <c r="L92" s="73" t="s">
        <v>663</v>
      </c>
      <c r="M92" s="169">
        <f>+Tabla2[[#This Row],[Total cuotas]]*0.5</f>
        <v>1050</v>
      </c>
      <c r="N92" s="166">
        <v>2100</v>
      </c>
      <c r="O92" s="88" t="s">
        <v>526</v>
      </c>
      <c r="P92" s="74">
        <f t="shared" si="2"/>
        <v>8715</v>
      </c>
      <c r="Q92" s="102" t="s">
        <v>384</v>
      </c>
      <c r="R92" s="102" t="s">
        <v>238</v>
      </c>
      <c r="S92" s="30" t="s">
        <v>243</v>
      </c>
      <c r="T92" s="30"/>
      <c r="U92" s="30"/>
      <c r="V92" s="107"/>
      <c r="W92" s="107">
        <f>Tabla2[[#This Row],[Fecha]]-DAY(Tabla2[[#This Row],[Fecha]])+1</f>
        <v>45505</v>
      </c>
      <c r="X92" s="96"/>
    </row>
    <row r="93" spans="1:24" x14ac:dyDescent="0.3">
      <c r="A93" s="30" t="s">
        <v>900</v>
      </c>
      <c r="B93" s="77" t="s">
        <v>344</v>
      </c>
      <c r="C93" s="30">
        <v>2023</v>
      </c>
      <c r="D93" s="107">
        <v>45261</v>
      </c>
      <c r="E93" s="30" t="s">
        <v>367</v>
      </c>
      <c r="F93" s="30"/>
      <c r="G93" s="30" t="s">
        <v>755</v>
      </c>
      <c r="H93" s="107">
        <v>45231</v>
      </c>
      <c r="I93" s="30" t="s">
        <v>727</v>
      </c>
      <c r="J93" s="73" t="s">
        <v>719</v>
      </c>
      <c r="K93" s="30">
        <v>1</v>
      </c>
      <c r="L93" s="103" t="s">
        <v>662</v>
      </c>
      <c r="M93" s="171">
        <f>+Tabla2[[#This Row],[Total cuotas]]*0.5</f>
        <v>1210</v>
      </c>
      <c r="N93" s="172">
        <v>2420</v>
      </c>
      <c r="O93" s="88" t="s">
        <v>525</v>
      </c>
      <c r="P93" s="74">
        <f t="shared" si="2"/>
        <v>1210</v>
      </c>
      <c r="Q93" s="102" t="s">
        <v>384</v>
      </c>
      <c r="R93" s="102" t="s">
        <v>238</v>
      </c>
      <c r="S93" s="30" t="s">
        <v>243</v>
      </c>
      <c r="T93" s="30" t="s">
        <v>385</v>
      </c>
      <c r="U93" s="162">
        <v>45306</v>
      </c>
      <c r="V93" s="107">
        <v>45292</v>
      </c>
      <c r="W93" s="107">
        <f>Tabla2[[#This Row],[Fecha]]-DAY(Tabla2[[#This Row],[Fecha]])+1</f>
        <v>45261</v>
      </c>
      <c r="X93" s="96"/>
    </row>
    <row r="94" spans="1:24" x14ac:dyDescent="0.3">
      <c r="A94" s="30" t="s">
        <v>901</v>
      </c>
      <c r="B94" s="77" t="s">
        <v>344</v>
      </c>
      <c r="C94" s="30">
        <v>2023</v>
      </c>
      <c r="D94" s="107">
        <v>45383</v>
      </c>
      <c r="E94" s="30" t="s">
        <v>367</v>
      </c>
      <c r="F94" s="30"/>
      <c r="G94" s="30" t="s">
        <v>788</v>
      </c>
      <c r="H94" s="107">
        <v>45231</v>
      </c>
      <c r="I94" s="30" t="s">
        <v>727</v>
      </c>
      <c r="J94" s="73" t="s">
        <v>719</v>
      </c>
      <c r="K94" s="30">
        <v>2</v>
      </c>
      <c r="L94" s="73" t="s">
        <v>663</v>
      </c>
      <c r="M94" s="171">
        <f>+Tabla2[[#This Row],[Total cuotas]]*0.5</f>
        <v>1210</v>
      </c>
      <c r="N94" s="172">
        <v>2420</v>
      </c>
      <c r="O94" s="88" t="s">
        <v>525</v>
      </c>
      <c r="P94" s="74">
        <f t="shared" si="2"/>
        <v>1210</v>
      </c>
      <c r="Q94" s="102" t="s">
        <v>384</v>
      </c>
      <c r="R94" s="102" t="s">
        <v>238</v>
      </c>
      <c r="S94" s="30" t="s">
        <v>243</v>
      </c>
      <c r="T94" s="30" t="str">
        <f>IF(AND(Tabla2[[#This Row],[F Venc]]&lt;&gt;"", Tabla2[[#This Row],[Fecha pago]]=""), "Pendiente", "Cancelado")</f>
        <v>Cancelado</v>
      </c>
      <c r="U94" s="162">
        <v>45397</v>
      </c>
      <c r="V94" s="107">
        <v>45394</v>
      </c>
      <c r="W94" s="107">
        <f>Tabla2[[#This Row],[Fecha]]-DAY(Tabla2[[#This Row],[Fecha]])+1</f>
        <v>45383</v>
      </c>
      <c r="X94" s="96"/>
    </row>
    <row r="95" spans="1:24" x14ac:dyDescent="0.3">
      <c r="A95" s="30" t="s">
        <v>902</v>
      </c>
      <c r="B95" s="95" t="s">
        <v>347</v>
      </c>
      <c r="C95" s="30">
        <v>2023</v>
      </c>
      <c r="D95" s="107">
        <v>45261</v>
      </c>
      <c r="E95" s="30" t="s">
        <v>367</v>
      </c>
      <c r="F95" s="30"/>
      <c r="G95" s="30" t="s">
        <v>756</v>
      </c>
      <c r="H95" s="107">
        <f>+H94</f>
        <v>45231</v>
      </c>
      <c r="I95" s="30" t="s">
        <v>735</v>
      </c>
      <c r="J95" s="73" t="s">
        <v>728</v>
      </c>
      <c r="K95" s="30">
        <v>1</v>
      </c>
      <c r="L95" s="73" t="s">
        <v>390</v>
      </c>
      <c r="M95" s="74">
        <f>1280*2</f>
        <v>2560</v>
      </c>
      <c r="N95" s="74">
        <f>1280+1280</f>
        <v>2560</v>
      </c>
      <c r="O95" s="88" t="s">
        <v>525</v>
      </c>
      <c r="P95" s="74">
        <f t="shared" si="2"/>
        <v>2560</v>
      </c>
      <c r="Q95" s="30" t="s">
        <v>384</v>
      </c>
      <c r="R95" s="30" t="s">
        <v>238</v>
      </c>
      <c r="S95" s="30" t="s">
        <v>243</v>
      </c>
      <c r="T95" s="30" t="str">
        <f>IF(AND(Tabla2[[#This Row],[F Venc]]&lt;&gt;"", Tabla2[[#This Row],[Fecha pago]]=""), "Pendiente", "Cancelado")</f>
        <v>Cancelado</v>
      </c>
      <c r="U95" s="162">
        <v>45306</v>
      </c>
      <c r="V95" s="107">
        <v>45292</v>
      </c>
      <c r="W95" s="107">
        <f>Tabla2[[#This Row],[Fecha]]-DAY(Tabla2[[#This Row],[Fecha]])+1</f>
        <v>45261</v>
      </c>
      <c r="X95" s="96"/>
    </row>
    <row r="96" spans="1:24" x14ac:dyDescent="0.3">
      <c r="A96" s="30" t="s">
        <v>903</v>
      </c>
      <c r="B96" s="95" t="s">
        <v>342</v>
      </c>
      <c r="C96" s="30">
        <v>2023</v>
      </c>
      <c r="D96" s="107">
        <v>45292</v>
      </c>
      <c r="E96" s="30" t="s">
        <v>732</v>
      </c>
      <c r="F96" s="30"/>
      <c r="G96" s="30" t="s">
        <v>776</v>
      </c>
      <c r="H96" s="107">
        <v>45261</v>
      </c>
      <c r="I96" s="30" t="s">
        <v>773</v>
      </c>
      <c r="J96" s="73" t="s">
        <v>731</v>
      </c>
      <c r="K96" s="30">
        <v>1</v>
      </c>
      <c r="L96" s="73" t="s">
        <v>390</v>
      </c>
      <c r="M96" s="166">
        <v>200</v>
      </c>
      <c r="N96" s="166">
        <v>200</v>
      </c>
      <c r="O96" s="88" t="s">
        <v>526</v>
      </c>
      <c r="P96" s="74">
        <f t="shared" ref="P96:P97" si="3">IF(O96="SOL",M96,M96*$J$1)</f>
        <v>1660.0000000000002</v>
      </c>
      <c r="Q96" s="30" t="s">
        <v>384</v>
      </c>
      <c r="R96" s="30" t="s">
        <v>238</v>
      </c>
      <c r="S96" s="30" t="s">
        <v>243</v>
      </c>
      <c r="T96" s="30" t="str">
        <f>IF(AND(Tabla2[[#This Row],[F Venc]]&lt;&gt;"", Tabla2[[#This Row],[Fecha pago]]=""), "Pendiente", "Cancelado")</f>
        <v>Cancelado</v>
      </c>
      <c r="U96" s="162">
        <v>45347</v>
      </c>
      <c r="V96" s="107">
        <v>45330</v>
      </c>
      <c r="W96" s="107">
        <f>Tabla2[[#This Row],[Fecha]]-DAY(Tabla2[[#This Row],[Fecha]])+1</f>
        <v>45292</v>
      </c>
      <c r="X96" s="96" t="s">
        <v>624</v>
      </c>
    </row>
    <row r="97" spans="1:24" x14ac:dyDescent="0.3">
      <c r="A97" s="30" t="s">
        <v>904</v>
      </c>
      <c r="B97" s="95" t="s">
        <v>736</v>
      </c>
      <c r="C97" s="30">
        <v>2023</v>
      </c>
      <c r="D97" s="220">
        <v>45292</v>
      </c>
      <c r="E97" s="30" t="s">
        <v>395</v>
      </c>
      <c r="F97" s="30"/>
      <c r="G97" s="30"/>
      <c r="H97" s="107"/>
      <c r="I97" s="30" t="s">
        <v>772</v>
      </c>
      <c r="J97" s="73" t="s">
        <v>730</v>
      </c>
      <c r="K97" s="30">
        <v>1</v>
      </c>
      <c r="L97" s="73" t="s">
        <v>737</v>
      </c>
      <c r="M97" s="74">
        <f>+Tabla2[[#This Row],[Total cuotas]]</f>
        <v>4125</v>
      </c>
      <c r="N97" s="74">
        <v>4125</v>
      </c>
      <c r="O97" s="88" t="s">
        <v>525</v>
      </c>
      <c r="P97" s="74">
        <f t="shared" si="3"/>
        <v>4125</v>
      </c>
      <c r="Q97" s="30" t="s">
        <v>321</v>
      </c>
      <c r="R97" s="30" t="s">
        <v>238</v>
      </c>
      <c r="S97" s="30" t="s">
        <v>243</v>
      </c>
      <c r="T97" s="30"/>
      <c r="U97" s="30"/>
      <c r="V97" s="107"/>
      <c r="W97" s="107">
        <f>Tabla2[[#This Row],[Fecha]]-DAY(Tabla2[[#This Row],[Fecha]])+1</f>
        <v>45292</v>
      </c>
      <c r="X97" s="96"/>
    </row>
    <row r="98" spans="1:24" x14ac:dyDescent="0.3">
      <c r="A98" s="30" t="s">
        <v>905</v>
      </c>
      <c r="B98" s="95" t="s">
        <v>336</v>
      </c>
      <c r="C98" s="30">
        <v>2023</v>
      </c>
      <c r="D98" s="107">
        <v>45261</v>
      </c>
      <c r="E98" s="30" t="s">
        <v>367</v>
      </c>
      <c r="F98" s="30" t="s">
        <v>741</v>
      </c>
      <c r="G98" s="30" t="s">
        <v>763</v>
      </c>
      <c r="H98" s="107">
        <v>45261</v>
      </c>
      <c r="I98" s="30" t="s">
        <v>761</v>
      </c>
      <c r="J98" s="73" t="s">
        <v>740</v>
      </c>
      <c r="K98" s="30">
        <v>1</v>
      </c>
      <c r="L98" s="103" t="s">
        <v>739</v>
      </c>
      <c r="M98" s="74">
        <f>+Tabla2[[#This Row],[Total cuotas]]*0.3</f>
        <v>7350</v>
      </c>
      <c r="N98" s="74">
        <v>24500</v>
      </c>
      <c r="O98" s="88" t="s">
        <v>525</v>
      </c>
      <c r="P98" s="74">
        <f t="shared" ref="P98:P109" si="4">IF(O98="SOL",M98,M98*$J$1)</f>
        <v>7350</v>
      </c>
      <c r="Q98" s="30" t="s">
        <v>384</v>
      </c>
      <c r="R98" s="30" t="s">
        <v>238</v>
      </c>
      <c r="S98" s="30" t="s">
        <v>21</v>
      </c>
      <c r="T98" s="30" t="str">
        <f>IF(AND(Tabla2[[#This Row],[F Venc]]&lt;&gt;"", Tabla2[[#This Row],[Fecha pago]]=""), "Pendiente", "Cancelado")</f>
        <v>Cancelado</v>
      </c>
      <c r="U98" s="162">
        <v>45311</v>
      </c>
      <c r="V98" s="107">
        <v>45309</v>
      </c>
      <c r="W98" s="107">
        <f>Tabla2[[#This Row],[Fecha]]-DAY(Tabla2[[#This Row],[Fecha]])+1</f>
        <v>45261</v>
      </c>
      <c r="X98" s="96" t="s">
        <v>523</v>
      </c>
    </row>
    <row r="99" spans="1:24" x14ac:dyDescent="0.3">
      <c r="A99" s="30" t="s">
        <v>906</v>
      </c>
      <c r="B99" s="95" t="s">
        <v>336</v>
      </c>
      <c r="C99" s="30">
        <v>2023</v>
      </c>
      <c r="D99" s="107">
        <v>45323</v>
      </c>
      <c r="E99" s="30" t="s">
        <v>367</v>
      </c>
      <c r="F99" s="30" t="s">
        <v>741</v>
      </c>
      <c r="G99" s="30" t="s">
        <v>781</v>
      </c>
      <c r="H99" s="107">
        <v>45261</v>
      </c>
      <c r="I99" s="30" t="s">
        <v>761</v>
      </c>
      <c r="J99" s="73" t="s">
        <v>740</v>
      </c>
      <c r="K99" s="30">
        <v>2</v>
      </c>
      <c r="L99" s="73" t="s">
        <v>742</v>
      </c>
      <c r="M99" s="74">
        <f>+Tabla2[[#This Row],[Total cuotas]]*17.5%</f>
        <v>4287.5</v>
      </c>
      <c r="N99" s="74">
        <v>24500</v>
      </c>
      <c r="O99" s="88" t="s">
        <v>525</v>
      </c>
      <c r="P99" s="74">
        <f t="shared" si="4"/>
        <v>4287.5</v>
      </c>
      <c r="Q99" s="30" t="s">
        <v>384</v>
      </c>
      <c r="R99" s="30" t="s">
        <v>238</v>
      </c>
      <c r="S99" s="30" t="s">
        <v>21</v>
      </c>
      <c r="T99" s="30" t="str">
        <f>IF(AND(Tabla2[[#This Row],[F Venc]]&lt;&gt;"", Tabla2[[#This Row],[Fecha pago]]=""), "Pendiente", "Cancelado")</f>
        <v>Cancelado</v>
      </c>
      <c r="U99" s="162">
        <v>45366</v>
      </c>
      <c r="V99" s="107">
        <v>45365</v>
      </c>
      <c r="W99" s="107">
        <f>Tabla2[[#This Row],[Fecha]]-DAY(Tabla2[[#This Row],[Fecha]])+1</f>
        <v>45323</v>
      </c>
      <c r="X99" s="96" t="s">
        <v>523</v>
      </c>
    </row>
    <row r="100" spans="1:24" x14ac:dyDescent="0.3">
      <c r="A100" s="30" t="s">
        <v>907</v>
      </c>
      <c r="B100" s="95" t="s">
        <v>336</v>
      </c>
      <c r="C100" s="30">
        <v>2023</v>
      </c>
      <c r="D100" s="107">
        <v>45383</v>
      </c>
      <c r="E100" s="30" t="s">
        <v>367</v>
      </c>
      <c r="F100" s="30" t="s">
        <v>741</v>
      </c>
      <c r="G100" s="30" t="s">
        <v>808</v>
      </c>
      <c r="H100" s="107">
        <v>45261</v>
      </c>
      <c r="I100" s="30" t="s">
        <v>761</v>
      </c>
      <c r="J100" s="73" t="s">
        <v>740</v>
      </c>
      <c r="K100" s="30">
        <v>3</v>
      </c>
      <c r="L100" s="73" t="s">
        <v>743</v>
      </c>
      <c r="M100" s="74">
        <f>+Tabla2[[#This Row],[Total cuotas]]*17.5%</f>
        <v>4287.5</v>
      </c>
      <c r="N100" s="74">
        <v>24500</v>
      </c>
      <c r="O100" s="88" t="s">
        <v>525</v>
      </c>
      <c r="P100" s="74">
        <f t="shared" ref="P100:P104" si="5">IF(O100="SOL",M100,M100*$J$1)</f>
        <v>4287.5</v>
      </c>
      <c r="Q100" s="30" t="s">
        <v>384</v>
      </c>
      <c r="R100" s="30" t="s">
        <v>238</v>
      </c>
      <c r="S100" s="30" t="s">
        <v>21</v>
      </c>
      <c r="T100" s="30" t="str">
        <f>IF(AND(Tabla2[[#This Row],[F Venc]]&lt;&gt;"", Tabla2[[#This Row],[Fecha pago]]=""), "Pendiente", "Cancelado")</f>
        <v>Cancelado</v>
      </c>
      <c r="U100" s="162">
        <v>45416</v>
      </c>
      <c r="V100" s="107">
        <v>45415</v>
      </c>
      <c r="W100" s="107">
        <f>Tabla2[[#This Row],[Fecha]]-DAY(Tabla2[[#This Row],[Fecha]])+1</f>
        <v>45383</v>
      </c>
      <c r="X100" s="96" t="s">
        <v>523</v>
      </c>
    </row>
    <row r="101" spans="1:24" x14ac:dyDescent="0.3">
      <c r="A101" s="30" t="s">
        <v>908</v>
      </c>
      <c r="B101" s="95" t="s">
        <v>336</v>
      </c>
      <c r="C101" s="30">
        <v>2023</v>
      </c>
      <c r="D101" s="221">
        <v>45505</v>
      </c>
      <c r="E101" s="30" t="s">
        <v>367</v>
      </c>
      <c r="F101" s="30" t="s">
        <v>741</v>
      </c>
      <c r="G101" s="30"/>
      <c r="H101" s="107">
        <v>45261</v>
      </c>
      <c r="I101" s="30" t="s">
        <v>761</v>
      </c>
      <c r="J101" s="73" t="s">
        <v>740</v>
      </c>
      <c r="K101" s="30">
        <v>4</v>
      </c>
      <c r="L101" s="73" t="s">
        <v>744</v>
      </c>
      <c r="M101" s="74">
        <f>+Tabla2[[#This Row],[Total cuotas]]*17.5%</f>
        <v>4287.5</v>
      </c>
      <c r="N101" s="74">
        <v>24500</v>
      </c>
      <c r="O101" s="88" t="s">
        <v>525</v>
      </c>
      <c r="P101" s="74">
        <f t="shared" si="5"/>
        <v>4287.5</v>
      </c>
      <c r="Q101" s="30" t="s">
        <v>384</v>
      </c>
      <c r="R101" s="30" t="s">
        <v>238</v>
      </c>
      <c r="S101" s="30" t="s">
        <v>21</v>
      </c>
      <c r="T101" s="30"/>
      <c r="U101" s="30"/>
      <c r="V101" s="107"/>
      <c r="W101" s="107">
        <f>Tabla2[[#This Row],[Fecha]]-DAY(Tabla2[[#This Row],[Fecha]])+1</f>
        <v>45505</v>
      </c>
      <c r="X101" s="96" t="s">
        <v>523</v>
      </c>
    </row>
    <row r="102" spans="1:24" x14ac:dyDescent="0.3">
      <c r="A102" s="30" t="s">
        <v>909</v>
      </c>
      <c r="B102" s="95" t="s">
        <v>336</v>
      </c>
      <c r="C102" s="30">
        <v>2023</v>
      </c>
      <c r="D102" s="220">
        <v>45536</v>
      </c>
      <c r="E102" s="30" t="s">
        <v>367</v>
      </c>
      <c r="F102" s="30" t="s">
        <v>741</v>
      </c>
      <c r="G102" s="30"/>
      <c r="H102" s="107">
        <v>45261</v>
      </c>
      <c r="I102" s="30" t="s">
        <v>761</v>
      </c>
      <c r="J102" s="73" t="s">
        <v>740</v>
      </c>
      <c r="K102" s="30">
        <v>5</v>
      </c>
      <c r="L102" s="73" t="s">
        <v>745</v>
      </c>
      <c r="M102" s="74">
        <f>+Tabla2[[#This Row],[Total cuotas]]*17.5%</f>
        <v>4287.5</v>
      </c>
      <c r="N102" s="74">
        <v>24500</v>
      </c>
      <c r="O102" s="88" t="s">
        <v>525</v>
      </c>
      <c r="P102" s="74">
        <f t="shared" si="5"/>
        <v>4287.5</v>
      </c>
      <c r="Q102" s="30" t="s">
        <v>384</v>
      </c>
      <c r="R102" s="30" t="s">
        <v>238</v>
      </c>
      <c r="S102" s="30" t="s">
        <v>21</v>
      </c>
      <c r="T102" s="30"/>
      <c r="U102" s="30"/>
      <c r="V102" s="107"/>
      <c r="W102" s="107">
        <f>Tabla2[[#This Row],[Fecha]]-DAY(Tabla2[[#This Row],[Fecha]])+1</f>
        <v>45536</v>
      </c>
      <c r="X102" s="96" t="s">
        <v>523</v>
      </c>
    </row>
    <row r="103" spans="1:24" x14ac:dyDescent="0.3">
      <c r="A103" s="30" t="s">
        <v>910</v>
      </c>
      <c r="B103" s="95" t="s">
        <v>340</v>
      </c>
      <c r="C103" s="30">
        <v>2023</v>
      </c>
      <c r="D103" s="107">
        <v>45261</v>
      </c>
      <c r="E103" s="30" t="s">
        <v>367</v>
      </c>
      <c r="F103" s="30" t="s">
        <v>674</v>
      </c>
      <c r="G103" s="30" t="s">
        <v>764</v>
      </c>
      <c r="H103" s="107">
        <v>45261</v>
      </c>
      <c r="I103" s="30" t="s">
        <v>760</v>
      </c>
      <c r="J103" s="73" t="s">
        <v>675</v>
      </c>
      <c r="K103" s="30">
        <v>1</v>
      </c>
      <c r="L103" s="103" t="s">
        <v>739</v>
      </c>
      <c r="M103" s="74">
        <f>+Tabla2[[#This Row],[Total cuotas]]*0.3</f>
        <v>4410</v>
      </c>
      <c r="N103" s="74">
        <v>14700</v>
      </c>
      <c r="O103" s="88" t="s">
        <v>525</v>
      </c>
      <c r="P103" s="74">
        <f t="shared" si="5"/>
        <v>4410</v>
      </c>
      <c r="Q103" s="30" t="s">
        <v>384</v>
      </c>
      <c r="R103" s="30" t="s">
        <v>238</v>
      </c>
      <c r="S103" s="30" t="s">
        <v>110</v>
      </c>
      <c r="T103" s="30" t="str">
        <f>IF(AND(Tabla2[[#This Row],[F Venc]]&lt;&gt;"", Tabla2[[#This Row],[Fecha pago]]=""), "Pendiente", "Cancelado")</f>
        <v>Cancelado</v>
      </c>
      <c r="U103" s="162">
        <v>45311</v>
      </c>
      <c r="V103" s="107">
        <v>45309</v>
      </c>
      <c r="W103" s="107">
        <f>Tabla2[[#This Row],[Fecha]]-DAY(Tabla2[[#This Row],[Fecha]])+1</f>
        <v>45261</v>
      </c>
      <c r="X103" s="96"/>
    </row>
    <row r="104" spans="1:24" x14ac:dyDescent="0.3">
      <c r="A104" s="30" t="s">
        <v>911</v>
      </c>
      <c r="B104" s="95" t="s">
        <v>340</v>
      </c>
      <c r="C104" s="30">
        <v>2023</v>
      </c>
      <c r="D104" s="107">
        <v>45352</v>
      </c>
      <c r="E104" s="30" t="s">
        <v>367</v>
      </c>
      <c r="F104" s="30" t="s">
        <v>674</v>
      </c>
      <c r="G104" s="30" t="s">
        <v>787</v>
      </c>
      <c r="H104" s="107">
        <v>45261</v>
      </c>
      <c r="I104" s="30" t="s">
        <v>760</v>
      </c>
      <c r="J104" s="73" t="s">
        <v>675</v>
      </c>
      <c r="K104" s="30">
        <v>2</v>
      </c>
      <c r="L104" s="73" t="s">
        <v>742</v>
      </c>
      <c r="M104" s="74">
        <f>+Tabla2[[#This Row],[Total cuotas]]*17.5%</f>
        <v>2572.5</v>
      </c>
      <c r="N104" s="74">
        <v>14700</v>
      </c>
      <c r="O104" s="88" t="s">
        <v>525</v>
      </c>
      <c r="P104" s="74">
        <f t="shared" si="5"/>
        <v>2572.5</v>
      </c>
      <c r="Q104" s="30" t="s">
        <v>384</v>
      </c>
      <c r="R104" s="30" t="s">
        <v>238</v>
      </c>
      <c r="S104" s="30" t="s">
        <v>110</v>
      </c>
      <c r="T104" s="30" t="str">
        <f>IF(AND(Tabla2[[#This Row],[F Venc]]&lt;&gt;"", Tabla2[[#This Row],[Fecha pago]]=""), "Pendiente", "Cancelado")</f>
        <v>Cancelado</v>
      </c>
      <c r="U104" s="162">
        <v>45397</v>
      </c>
      <c r="V104" s="107">
        <v>45394</v>
      </c>
      <c r="W104" s="107">
        <f>Tabla2[[#This Row],[Fecha]]-DAY(Tabla2[[#This Row],[Fecha]])+1</f>
        <v>45352</v>
      </c>
      <c r="X104" s="96"/>
    </row>
    <row r="105" spans="1:24" x14ac:dyDescent="0.3">
      <c r="A105" s="30" t="s">
        <v>912</v>
      </c>
      <c r="B105" s="95" t="s">
        <v>340</v>
      </c>
      <c r="C105" s="30">
        <v>2023</v>
      </c>
      <c r="D105" s="107">
        <v>45383</v>
      </c>
      <c r="E105" s="30" t="s">
        <v>367</v>
      </c>
      <c r="F105" s="30" t="s">
        <v>674</v>
      </c>
      <c r="G105" s="30" t="s">
        <v>807</v>
      </c>
      <c r="H105" s="107">
        <v>45261</v>
      </c>
      <c r="I105" s="30" t="s">
        <v>760</v>
      </c>
      <c r="J105" s="73" t="s">
        <v>675</v>
      </c>
      <c r="K105" s="30">
        <v>3</v>
      </c>
      <c r="L105" s="73" t="s">
        <v>743</v>
      </c>
      <c r="M105" s="74">
        <f>+Tabla2[[#This Row],[Total cuotas]]*17.5%</f>
        <v>2572.5</v>
      </c>
      <c r="N105" s="74">
        <v>14700</v>
      </c>
      <c r="O105" s="88" t="s">
        <v>525</v>
      </c>
      <c r="P105" s="74">
        <f t="shared" si="4"/>
        <v>2572.5</v>
      </c>
      <c r="Q105" s="30" t="s">
        <v>384</v>
      </c>
      <c r="R105" s="30" t="s">
        <v>238</v>
      </c>
      <c r="S105" s="30" t="s">
        <v>110</v>
      </c>
      <c r="T105" s="30" t="str">
        <f>IF(AND(Tabla2[[#This Row],[F Venc]]&lt;&gt;"", Tabla2[[#This Row],[Fecha pago]]=""), "Pendiente", "Cancelado")</f>
        <v>Cancelado</v>
      </c>
      <c r="U105" s="162">
        <v>45416</v>
      </c>
      <c r="V105" s="107">
        <v>45415</v>
      </c>
      <c r="W105" s="107">
        <f>Tabla2[[#This Row],[Fecha]]-DAY(Tabla2[[#This Row],[Fecha]])+1</f>
        <v>45383</v>
      </c>
      <c r="X105" s="96"/>
    </row>
    <row r="106" spans="1:24" x14ac:dyDescent="0.3">
      <c r="A106" s="30" t="s">
        <v>913</v>
      </c>
      <c r="B106" s="95" t="s">
        <v>340</v>
      </c>
      <c r="C106" s="30">
        <v>2023</v>
      </c>
      <c r="D106" s="220">
        <v>45536</v>
      </c>
      <c r="E106" s="30" t="s">
        <v>367</v>
      </c>
      <c r="F106" s="30" t="s">
        <v>674</v>
      </c>
      <c r="G106" s="30"/>
      <c r="H106" s="107">
        <v>45261</v>
      </c>
      <c r="I106" s="30" t="s">
        <v>760</v>
      </c>
      <c r="J106" s="73" t="s">
        <v>675</v>
      </c>
      <c r="K106" s="30">
        <v>4</v>
      </c>
      <c r="L106" s="73" t="s">
        <v>744</v>
      </c>
      <c r="M106" s="74">
        <f>+Tabla2[[#This Row],[Total cuotas]]*17.5%</f>
        <v>2572.5</v>
      </c>
      <c r="N106" s="74">
        <v>14700</v>
      </c>
      <c r="O106" s="88" t="s">
        <v>525</v>
      </c>
      <c r="P106" s="74">
        <f t="shared" si="4"/>
        <v>2572.5</v>
      </c>
      <c r="Q106" s="30" t="s">
        <v>384</v>
      </c>
      <c r="R106" s="30" t="s">
        <v>238</v>
      </c>
      <c r="S106" s="30" t="s">
        <v>110</v>
      </c>
      <c r="T106" s="30"/>
      <c r="U106" s="30"/>
      <c r="V106" s="107"/>
      <c r="W106" s="107">
        <f>Tabla2[[#This Row],[Fecha]]-DAY(Tabla2[[#This Row],[Fecha]])+1</f>
        <v>45536</v>
      </c>
      <c r="X106" s="96"/>
    </row>
    <row r="107" spans="1:24" x14ac:dyDescent="0.3">
      <c r="A107" s="30" t="s">
        <v>914</v>
      </c>
      <c r="B107" s="95" t="s">
        <v>340</v>
      </c>
      <c r="C107" s="30">
        <v>2023</v>
      </c>
      <c r="D107" s="220">
        <v>45536</v>
      </c>
      <c r="E107" s="30" t="s">
        <v>367</v>
      </c>
      <c r="F107" s="30" t="s">
        <v>674</v>
      </c>
      <c r="G107" s="30"/>
      <c r="H107" s="107">
        <v>45261</v>
      </c>
      <c r="I107" s="30" t="s">
        <v>760</v>
      </c>
      <c r="J107" s="73" t="s">
        <v>675</v>
      </c>
      <c r="K107" s="30">
        <v>5</v>
      </c>
      <c r="L107" s="73" t="s">
        <v>745</v>
      </c>
      <c r="M107" s="74">
        <f>+Tabla2[[#This Row],[Total cuotas]]*17.5%</f>
        <v>2572.5</v>
      </c>
      <c r="N107" s="74">
        <v>14700</v>
      </c>
      <c r="O107" s="88" t="s">
        <v>525</v>
      </c>
      <c r="P107" s="74">
        <f t="shared" si="4"/>
        <v>2572.5</v>
      </c>
      <c r="Q107" s="30" t="s">
        <v>384</v>
      </c>
      <c r="R107" s="30" t="s">
        <v>238</v>
      </c>
      <c r="S107" s="30" t="s">
        <v>110</v>
      </c>
      <c r="T107" s="30"/>
      <c r="U107" s="30"/>
      <c r="V107" s="107"/>
      <c r="W107" s="107">
        <f>Tabla2[[#This Row],[Fecha]]-DAY(Tabla2[[#This Row],[Fecha]])+1</f>
        <v>45536</v>
      </c>
      <c r="X107" s="96"/>
    </row>
    <row r="108" spans="1:24" x14ac:dyDescent="0.3">
      <c r="A108" s="30" t="s">
        <v>915</v>
      </c>
      <c r="B108" s="77" t="s">
        <v>337</v>
      </c>
      <c r="C108" s="30">
        <v>2023</v>
      </c>
      <c r="D108" s="107">
        <v>45261</v>
      </c>
      <c r="E108" s="30" t="s">
        <v>367</v>
      </c>
      <c r="F108" s="30" t="s">
        <v>466</v>
      </c>
      <c r="G108" s="30" t="s">
        <v>766</v>
      </c>
      <c r="H108" s="107">
        <v>45261</v>
      </c>
      <c r="I108" s="30" t="s">
        <v>759</v>
      </c>
      <c r="J108" s="73" t="s">
        <v>1008</v>
      </c>
      <c r="K108" s="30">
        <v>1</v>
      </c>
      <c r="L108" s="103" t="s">
        <v>662</v>
      </c>
      <c r="M108" s="74">
        <f>+Tabla2[[#This Row],[Total cuotas]]*0.5</f>
        <v>5000</v>
      </c>
      <c r="N108" s="74">
        <v>10000</v>
      </c>
      <c r="O108" s="88" t="s">
        <v>525</v>
      </c>
      <c r="P108" s="74">
        <f t="shared" si="4"/>
        <v>5000</v>
      </c>
      <c r="Q108" s="30" t="s">
        <v>384</v>
      </c>
      <c r="R108" s="30" t="s">
        <v>238</v>
      </c>
      <c r="S108" s="30" t="s">
        <v>21</v>
      </c>
      <c r="T108" s="30" t="str">
        <f>IF(AND(Tabla2[[#This Row],[F Venc]]&lt;&gt;"", Tabla2[[#This Row],[Fecha pago]]=""), "Pendiente", "Cancelado")</f>
        <v>Cancelado</v>
      </c>
      <c r="U108" s="162">
        <v>45311</v>
      </c>
      <c r="V108" s="107">
        <v>45309</v>
      </c>
      <c r="W108" s="107">
        <f>Tabla2[[#This Row],[Fecha]]-DAY(Tabla2[[#This Row],[Fecha]])+1</f>
        <v>45261</v>
      </c>
      <c r="X108" s="96"/>
    </row>
    <row r="109" spans="1:24" x14ac:dyDescent="0.3">
      <c r="A109" s="30" t="s">
        <v>916</v>
      </c>
      <c r="B109" s="77" t="s">
        <v>337</v>
      </c>
      <c r="C109" s="30">
        <v>2023</v>
      </c>
      <c r="D109" s="220">
        <v>45536</v>
      </c>
      <c r="E109" s="30" t="s">
        <v>367</v>
      </c>
      <c r="F109" s="30" t="s">
        <v>466</v>
      </c>
      <c r="G109" s="30"/>
      <c r="H109" s="107">
        <v>45261</v>
      </c>
      <c r="I109" s="30" t="s">
        <v>759</v>
      </c>
      <c r="J109" s="73" t="s">
        <v>1008</v>
      </c>
      <c r="K109" s="30">
        <v>2</v>
      </c>
      <c r="L109" s="103" t="s">
        <v>663</v>
      </c>
      <c r="M109" s="74">
        <f>+Tabla2[[#This Row],[Total cuotas]]*0.5</f>
        <v>5000</v>
      </c>
      <c r="N109" s="74">
        <v>10000</v>
      </c>
      <c r="O109" s="88" t="s">
        <v>525</v>
      </c>
      <c r="P109" s="74">
        <f t="shared" si="4"/>
        <v>5000</v>
      </c>
      <c r="Q109" s="30" t="s">
        <v>384</v>
      </c>
      <c r="R109" s="30" t="s">
        <v>238</v>
      </c>
      <c r="S109" s="30" t="s">
        <v>21</v>
      </c>
      <c r="T109" s="30"/>
      <c r="U109" s="30"/>
      <c r="V109" s="107"/>
      <c r="W109" s="107">
        <f>Tabla2[[#This Row],[Fecha]]-DAY(Tabla2[[#This Row],[Fecha]])+1</f>
        <v>45536</v>
      </c>
      <c r="X109" s="96"/>
    </row>
    <row r="110" spans="1:24" x14ac:dyDescent="0.3">
      <c r="A110" s="30" t="s">
        <v>917</v>
      </c>
      <c r="B110" s="95" t="s">
        <v>342</v>
      </c>
      <c r="C110" s="30">
        <v>2023</v>
      </c>
      <c r="D110" s="107">
        <v>45261</v>
      </c>
      <c r="E110" s="30" t="s">
        <v>367</v>
      </c>
      <c r="F110" s="30" t="s">
        <v>620</v>
      </c>
      <c r="G110" s="30" t="s">
        <v>765</v>
      </c>
      <c r="H110" s="107">
        <v>45261</v>
      </c>
      <c r="I110" s="30" t="s">
        <v>758</v>
      </c>
      <c r="J110" s="73" t="s">
        <v>796</v>
      </c>
      <c r="K110" s="30">
        <v>1</v>
      </c>
      <c r="L110" s="103" t="s">
        <v>746</v>
      </c>
      <c r="M110" s="74">
        <f>+Tabla2[[#This Row],[Total cuotas]]*0.3</f>
        <v>2034</v>
      </c>
      <c r="N110" s="74">
        <v>6780</v>
      </c>
      <c r="O110" s="88" t="s">
        <v>525</v>
      </c>
      <c r="P110" s="74">
        <f t="shared" ref="P110:P112" si="6">IF(O110="SOL",M110,M110*$J$1)</f>
        <v>2034</v>
      </c>
      <c r="Q110" s="30" t="s">
        <v>384</v>
      </c>
      <c r="R110" s="30" t="s">
        <v>238</v>
      </c>
      <c r="S110" s="30" t="s">
        <v>243</v>
      </c>
      <c r="T110" s="30" t="str">
        <f>IF(AND(Tabla2[[#This Row],[F Venc]]&lt;&gt;"", Tabla2[[#This Row],[Fecha pago]]=""), "Pendiente", "Cancelado")</f>
        <v>Cancelado</v>
      </c>
      <c r="U110" s="162">
        <v>45311</v>
      </c>
      <c r="V110" s="107">
        <v>45309</v>
      </c>
      <c r="W110" s="107">
        <f>Tabla2[[#This Row],[Fecha]]-DAY(Tabla2[[#This Row],[Fecha]])+1</f>
        <v>45261</v>
      </c>
      <c r="X110" s="96" t="s">
        <v>624</v>
      </c>
    </row>
    <row r="111" spans="1:24" x14ac:dyDescent="0.3">
      <c r="A111" s="30" t="s">
        <v>918</v>
      </c>
      <c r="B111" s="95" t="s">
        <v>342</v>
      </c>
      <c r="C111" s="30">
        <v>2023</v>
      </c>
      <c r="D111" s="107">
        <v>45292</v>
      </c>
      <c r="E111" s="30" t="s">
        <v>367</v>
      </c>
      <c r="F111" s="30" t="s">
        <v>620</v>
      </c>
      <c r="G111" s="30" t="s">
        <v>775</v>
      </c>
      <c r="H111" s="107">
        <v>45261</v>
      </c>
      <c r="I111" s="30" t="s">
        <v>758</v>
      </c>
      <c r="J111" s="73" t="s">
        <v>796</v>
      </c>
      <c r="K111" s="30">
        <v>2</v>
      </c>
      <c r="L111" s="103" t="s">
        <v>747</v>
      </c>
      <c r="M111" s="74">
        <f>+Tabla2[[#This Row],[Total cuotas]]*0.35</f>
        <v>2373</v>
      </c>
      <c r="N111" s="74">
        <v>6780</v>
      </c>
      <c r="O111" s="88" t="s">
        <v>525</v>
      </c>
      <c r="P111" s="74">
        <f t="shared" si="6"/>
        <v>2373</v>
      </c>
      <c r="Q111" s="30" t="s">
        <v>384</v>
      </c>
      <c r="R111" s="30" t="s">
        <v>238</v>
      </c>
      <c r="S111" s="30" t="s">
        <v>243</v>
      </c>
      <c r="T111" s="30" t="str">
        <f>IF(AND(Tabla2[[#This Row],[F Venc]]&lt;&gt;"", Tabla2[[#This Row],[Fecha pago]]=""), "Pendiente", "Cancelado")</f>
        <v>Cancelado</v>
      </c>
      <c r="U111" s="162">
        <v>45346</v>
      </c>
      <c r="V111" s="107">
        <v>45344</v>
      </c>
      <c r="W111" s="107">
        <f>Tabla2[[#This Row],[Fecha]]-DAY(Tabla2[[#This Row],[Fecha]])+1</f>
        <v>45292</v>
      </c>
      <c r="X111" s="96" t="s">
        <v>624</v>
      </c>
    </row>
    <row r="112" spans="1:24" x14ac:dyDescent="0.3">
      <c r="A112" s="30" t="s">
        <v>919</v>
      </c>
      <c r="B112" s="95" t="s">
        <v>342</v>
      </c>
      <c r="C112" s="30">
        <v>2023</v>
      </c>
      <c r="D112" s="107">
        <v>45413</v>
      </c>
      <c r="E112" s="30" t="s">
        <v>367</v>
      </c>
      <c r="F112" s="30" t="s">
        <v>620</v>
      </c>
      <c r="G112" s="30" t="s">
        <v>1007</v>
      </c>
      <c r="H112" s="107">
        <v>45261</v>
      </c>
      <c r="I112" s="30" t="s">
        <v>758</v>
      </c>
      <c r="J112" s="73" t="s">
        <v>796</v>
      </c>
      <c r="K112" s="30">
        <v>3</v>
      </c>
      <c r="L112" s="103" t="s">
        <v>420</v>
      </c>
      <c r="M112" s="74">
        <f>+Tabla2[[#This Row],[Total cuotas]]*0.35</f>
        <v>2373</v>
      </c>
      <c r="N112" s="74">
        <v>6780</v>
      </c>
      <c r="O112" s="88" t="s">
        <v>525</v>
      </c>
      <c r="P112" s="74">
        <f t="shared" si="6"/>
        <v>2373</v>
      </c>
      <c r="Q112" s="30" t="s">
        <v>384</v>
      </c>
      <c r="R112" s="30" t="s">
        <v>238</v>
      </c>
      <c r="S112" s="30" t="s">
        <v>243</v>
      </c>
      <c r="T112" s="30" t="s">
        <v>385</v>
      </c>
      <c r="U112" s="162">
        <v>45463</v>
      </c>
      <c r="V112" s="107">
        <v>45456</v>
      </c>
      <c r="W112" s="107">
        <f>Tabla2[[#This Row],[Fecha]]-DAY(Tabla2[[#This Row],[Fecha]])+1</f>
        <v>45413</v>
      </c>
      <c r="X112" s="96" t="s">
        <v>624</v>
      </c>
    </row>
    <row r="113" spans="1:24" x14ac:dyDescent="0.3">
      <c r="A113" s="30" t="s">
        <v>920</v>
      </c>
      <c r="B113" s="77" t="s">
        <v>352</v>
      </c>
      <c r="C113" s="30">
        <v>2023</v>
      </c>
      <c r="D113" s="107">
        <v>45261</v>
      </c>
      <c r="E113" s="30" t="s">
        <v>367</v>
      </c>
      <c r="F113" s="30" t="s">
        <v>748</v>
      </c>
      <c r="G113" s="30" t="s">
        <v>767</v>
      </c>
      <c r="H113" s="107">
        <v>45261</v>
      </c>
      <c r="I113" s="30" t="s">
        <v>762</v>
      </c>
      <c r="J113" s="73" t="s">
        <v>749</v>
      </c>
      <c r="K113" s="30">
        <v>1</v>
      </c>
      <c r="L113" s="103" t="s">
        <v>739</v>
      </c>
      <c r="M113" s="74">
        <f>+Tabla2[[#This Row],[Total cuotas]]*0.3</f>
        <v>6900</v>
      </c>
      <c r="N113" s="74">
        <v>23000</v>
      </c>
      <c r="O113" s="88" t="s">
        <v>525</v>
      </c>
      <c r="P113" s="74">
        <f t="shared" ref="P113:P115" si="7">IF(O113="SOL",M113,M113*$J$1)</f>
        <v>6900</v>
      </c>
      <c r="Q113" s="30" t="s">
        <v>384</v>
      </c>
      <c r="R113" s="30" t="s">
        <v>238</v>
      </c>
      <c r="S113" s="30" t="s">
        <v>15</v>
      </c>
      <c r="T113" s="30" t="str">
        <f>IF(AND(Tabla2[[#This Row],[F Venc]]&lt;&gt;"", Tabla2[[#This Row],[Fecha pago]]=""), "Pendiente", "Cancelado")</f>
        <v>Cancelado</v>
      </c>
      <c r="U113" s="162">
        <v>45311</v>
      </c>
      <c r="V113" s="107">
        <v>45309</v>
      </c>
      <c r="W113" s="107">
        <f>Tabla2[[#This Row],[Fecha]]-DAY(Tabla2[[#This Row],[Fecha]])+1</f>
        <v>45261</v>
      </c>
      <c r="X113" s="96"/>
    </row>
    <row r="114" spans="1:24" x14ac:dyDescent="0.3">
      <c r="A114" s="30" t="s">
        <v>921</v>
      </c>
      <c r="B114" s="77" t="s">
        <v>352</v>
      </c>
      <c r="C114" s="30">
        <v>2023</v>
      </c>
      <c r="D114" s="221">
        <v>45505</v>
      </c>
      <c r="E114" s="30" t="s">
        <v>367</v>
      </c>
      <c r="F114" s="30" t="s">
        <v>748</v>
      </c>
      <c r="G114" s="30"/>
      <c r="H114" s="107">
        <v>45261</v>
      </c>
      <c r="I114" s="30" t="s">
        <v>762</v>
      </c>
      <c r="J114" s="73" t="s">
        <v>749</v>
      </c>
      <c r="K114" s="30">
        <v>2</v>
      </c>
      <c r="L114" s="73" t="s">
        <v>742</v>
      </c>
      <c r="M114" s="74">
        <f>+Tabla2[[#This Row],[Total cuotas]]*17.5%</f>
        <v>4024.9999999999995</v>
      </c>
      <c r="N114" s="74">
        <v>23000</v>
      </c>
      <c r="O114" s="88" t="s">
        <v>525</v>
      </c>
      <c r="P114" s="74">
        <f t="shared" si="7"/>
        <v>4024.9999999999995</v>
      </c>
      <c r="Q114" s="30" t="s">
        <v>384</v>
      </c>
      <c r="R114" s="30" t="s">
        <v>238</v>
      </c>
      <c r="S114" s="30" t="s">
        <v>15</v>
      </c>
      <c r="T114" s="30"/>
      <c r="U114" s="30"/>
      <c r="V114" s="107"/>
      <c r="W114" s="107">
        <f>Tabla2[[#This Row],[Fecha]]-DAY(Tabla2[[#This Row],[Fecha]])+1</f>
        <v>45505</v>
      </c>
      <c r="X114" s="96"/>
    </row>
    <row r="115" spans="1:24" x14ac:dyDescent="0.3">
      <c r="A115" s="30" t="s">
        <v>922</v>
      </c>
      <c r="B115" s="77" t="s">
        <v>352</v>
      </c>
      <c r="C115" s="30">
        <v>2023</v>
      </c>
      <c r="D115" s="220">
        <v>45536</v>
      </c>
      <c r="E115" s="30" t="s">
        <v>367</v>
      </c>
      <c r="F115" s="30" t="s">
        <v>748</v>
      </c>
      <c r="G115" s="30"/>
      <c r="H115" s="107">
        <v>45261</v>
      </c>
      <c r="I115" s="30" t="s">
        <v>762</v>
      </c>
      <c r="J115" s="73" t="s">
        <v>749</v>
      </c>
      <c r="K115" s="30">
        <v>3</v>
      </c>
      <c r="L115" s="73" t="s">
        <v>743</v>
      </c>
      <c r="M115" s="74">
        <f>+Tabla2[[#This Row],[Total cuotas]]*17.5%</f>
        <v>4024.9999999999995</v>
      </c>
      <c r="N115" s="74">
        <v>23000</v>
      </c>
      <c r="O115" s="88" t="s">
        <v>525</v>
      </c>
      <c r="P115" s="74">
        <f t="shared" si="7"/>
        <v>4024.9999999999995</v>
      </c>
      <c r="Q115" s="30" t="s">
        <v>384</v>
      </c>
      <c r="R115" s="30" t="s">
        <v>238</v>
      </c>
      <c r="S115" s="30" t="s">
        <v>15</v>
      </c>
      <c r="T115" s="30"/>
      <c r="U115" s="30"/>
      <c r="V115" s="107"/>
      <c r="W115" s="107">
        <f>Tabla2[[#This Row],[Fecha]]-DAY(Tabla2[[#This Row],[Fecha]])+1</f>
        <v>45536</v>
      </c>
      <c r="X115" s="96"/>
    </row>
    <row r="116" spans="1:24" x14ac:dyDescent="0.3">
      <c r="A116" s="30" t="s">
        <v>923</v>
      </c>
      <c r="B116" s="77" t="s">
        <v>352</v>
      </c>
      <c r="C116" s="30">
        <v>2023</v>
      </c>
      <c r="D116" s="221">
        <v>45505</v>
      </c>
      <c r="E116" s="30" t="s">
        <v>367</v>
      </c>
      <c r="F116" s="30" t="s">
        <v>748</v>
      </c>
      <c r="G116" s="30"/>
      <c r="H116" s="107">
        <v>45261</v>
      </c>
      <c r="I116" s="30" t="s">
        <v>762</v>
      </c>
      <c r="J116" s="73" t="s">
        <v>749</v>
      </c>
      <c r="K116" s="30">
        <v>4</v>
      </c>
      <c r="L116" s="73" t="s">
        <v>744</v>
      </c>
      <c r="M116" s="74">
        <f>+Tabla2[[#This Row],[Total cuotas]]*17.5%</f>
        <v>4024.9999999999995</v>
      </c>
      <c r="N116" s="74">
        <v>23000</v>
      </c>
      <c r="O116" s="88" t="s">
        <v>525</v>
      </c>
      <c r="P116" s="74">
        <f t="shared" ref="P116:P117" si="8">IF(O116="SOL",M116,M116*$J$1)</f>
        <v>4024.9999999999995</v>
      </c>
      <c r="Q116" s="30" t="s">
        <v>384</v>
      </c>
      <c r="R116" s="30" t="s">
        <v>238</v>
      </c>
      <c r="S116" s="30" t="s">
        <v>15</v>
      </c>
      <c r="T116" s="30"/>
      <c r="U116" s="30"/>
      <c r="V116" s="107"/>
      <c r="W116" s="107">
        <f>Tabla2[[#This Row],[Fecha]]-DAY(Tabla2[[#This Row],[Fecha]])+1</f>
        <v>45505</v>
      </c>
      <c r="X116" s="96"/>
    </row>
    <row r="117" spans="1:24" x14ac:dyDescent="0.3">
      <c r="A117" s="30" t="s">
        <v>924</v>
      </c>
      <c r="B117" s="77" t="s">
        <v>352</v>
      </c>
      <c r="C117" s="30">
        <v>2023</v>
      </c>
      <c r="D117" s="220">
        <v>45536</v>
      </c>
      <c r="E117" s="30" t="s">
        <v>367</v>
      </c>
      <c r="F117" s="30" t="s">
        <v>748</v>
      </c>
      <c r="G117" s="30"/>
      <c r="H117" s="107">
        <v>45261</v>
      </c>
      <c r="I117" s="30" t="s">
        <v>762</v>
      </c>
      <c r="J117" s="73" t="s">
        <v>749</v>
      </c>
      <c r="K117" s="30">
        <v>5</v>
      </c>
      <c r="L117" s="73" t="s">
        <v>745</v>
      </c>
      <c r="M117" s="74">
        <f>+Tabla2[[#This Row],[Total cuotas]]*17.5%</f>
        <v>4024.9999999999995</v>
      </c>
      <c r="N117" s="74">
        <v>23000</v>
      </c>
      <c r="O117" s="88" t="s">
        <v>525</v>
      </c>
      <c r="P117" s="74">
        <f t="shared" si="8"/>
        <v>4024.9999999999995</v>
      </c>
      <c r="Q117" s="30" t="s">
        <v>384</v>
      </c>
      <c r="R117" s="30" t="s">
        <v>238</v>
      </c>
      <c r="S117" s="30" t="s">
        <v>15</v>
      </c>
      <c r="T117" s="30"/>
      <c r="U117" s="30"/>
      <c r="V117" s="107"/>
      <c r="W117" s="107">
        <f>Tabla2[[#This Row],[Fecha]]-DAY(Tabla2[[#This Row],[Fecha]])+1</f>
        <v>45536</v>
      </c>
      <c r="X117" s="96"/>
    </row>
    <row r="118" spans="1:24" x14ac:dyDescent="0.3">
      <c r="A118" s="30" t="s">
        <v>925</v>
      </c>
      <c r="B118" s="77"/>
      <c r="C118" s="30">
        <v>2024</v>
      </c>
      <c r="D118" s="107">
        <v>45329</v>
      </c>
      <c r="E118" s="30" t="s">
        <v>367</v>
      </c>
      <c r="F118" s="30"/>
      <c r="G118" s="30" t="s">
        <v>782</v>
      </c>
      <c r="H118" s="107">
        <v>45292</v>
      </c>
      <c r="I118" s="30" t="s">
        <v>780</v>
      </c>
      <c r="J118" s="73" t="s">
        <v>771</v>
      </c>
      <c r="K118" s="30">
        <v>1</v>
      </c>
      <c r="L118" s="73" t="s">
        <v>447</v>
      </c>
      <c r="M118" s="74">
        <v>5100</v>
      </c>
      <c r="N118" s="74">
        <f>Tabla2[[#This Row],[Cuota]]*12</f>
        <v>61200</v>
      </c>
      <c r="O118" s="88" t="s">
        <v>525</v>
      </c>
      <c r="P118" s="74">
        <f>IF(O118="SOL",M118,M118*$J$1)</f>
        <v>5100</v>
      </c>
      <c r="Q118" s="30" t="s">
        <v>321</v>
      </c>
      <c r="R118" s="30" t="s">
        <v>238</v>
      </c>
      <c r="S118" s="30" t="s">
        <v>243</v>
      </c>
      <c r="T118" s="30" t="str">
        <f>IF(AND(Tabla2[[#This Row],[F Venc]]&lt;&gt;"", Tabla2[[#This Row],[Fecha pago]]=""), "Pendiente", "Cancelado")</f>
        <v>Cancelado</v>
      </c>
      <c r="U118" s="162">
        <v>45366</v>
      </c>
      <c r="V118" s="107">
        <v>45344</v>
      </c>
      <c r="W118" s="107">
        <f>Tabla2[[#This Row],[Fecha]]-DAY(Tabla2[[#This Row],[Fecha]])+1</f>
        <v>45323</v>
      </c>
      <c r="X118" s="96"/>
    </row>
    <row r="119" spans="1:24" x14ac:dyDescent="0.3">
      <c r="A119" s="30" t="s">
        <v>926</v>
      </c>
      <c r="B119" s="77"/>
      <c r="C119" s="30">
        <v>2024</v>
      </c>
      <c r="D119" s="107">
        <v>45352</v>
      </c>
      <c r="E119" s="30" t="s">
        <v>367</v>
      </c>
      <c r="F119" s="30"/>
      <c r="G119" s="30" t="s">
        <v>799</v>
      </c>
      <c r="H119" s="107">
        <v>45292</v>
      </c>
      <c r="I119" s="30" t="s">
        <v>780</v>
      </c>
      <c r="J119" s="73" t="s">
        <v>771</v>
      </c>
      <c r="K119" s="30">
        <v>2</v>
      </c>
      <c r="L119" s="73" t="s">
        <v>461</v>
      </c>
      <c r="M119" s="74">
        <v>5100</v>
      </c>
      <c r="N119" s="74">
        <f>Tabla2[[#This Row],[Cuota]]*12</f>
        <v>61200</v>
      </c>
      <c r="O119" s="88" t="s">
        <v>525</v>
      </c>
      <c r="P119" s="74">
        <f t="shared" ref="P119:P129" si="9">IF(O119="SOL",M119,M119*$J$1)</f>
        <v>5100</v>
      </c>
      <c r="Q119" s="30" t="s">
        <v>321</v>
      </c>
      <c r="R119" s="30" t="s">
        <v>238</v>
      </c>
      <c r="S119" s="30" t="s">
        <v>243</v>
      </c>
      <c r="T119" s="30" t="s">
        <v>385</v>
      </c>
      <c r="U119" s="162">
        <v>45388</v>
      </c>
      <c r="V119" s="107">
        <v>45377</v>
      </c>
      <c r="W119" s="107">
        <f>Tabla2[[#This Row],[Fecha]]-DAY(Tabla2[[#This Row],[Fecha]])+1</f>
        <v>45352</v>
      </c>
      <c r="X119" s="96"/>
    </row>
    <row r="120" spans="1:24" x14ac:dyDescent="0.3">
      <c r="A120" s="30" t="s">
        <v>927</v>
      </c>
      <c r="B120" s="77"/>
      <c r="C120" s="30">
        <v>2024</v>
      </c>
      <c r="D120" s="107">
        <v>45352</v>
      </c>
      <c r="E120" s="30" t="s">
        <v>367</v>
      </c>
      <c r="F120" s="30"/>
      <c r="G120" s="30" t="s">
        <v>809</v>
      </c>
      <c r="H120" s="107">
        <v>45292</v>
      </c>
      <c r="I120" s="30" t="s">
        <v>780</v>
      </c>
      <c r="J120" s="73" t="s">
        <v>771</v>
      </c>
      <c r="K120" s="30">
        <v>3</v>
      </c>
      <c r="L120" s="73" t="s">
        <v>465</v>
      </c>
      <c r="M120" s="74">
        <v>5100</v>
      </c>
      <c r="N120" s="74">
        <f>Tabla2[[#This Row],[Cuota]]*12</f>
        <v>61200</v>
      </c>
      <c r="O120" s="88" t="s">
        <v>525</v>
      </c>
      <c r="P120" s="74">
        <f t="shared" si="9"/>
        <v>5100</v>
      </c>
      <c r="Q120" s="30" t="s">
        <v>321</v>
      </c>
      <c r="R120" s="30" t="s">
        <v>238</v>
      </c>
      <c r="S120" s="30" t="s">
        <v>243</v>
      </c>
      <c r="T120" s="30" t="str">
        <f>IF(AND(Tabla2[[#This Row],[F Venc]]&lt;&gt;"", Tabla2[[#This Row],[Fecha pago]]=""), "Pendiente", "Cancelado")</f>
        <v>Cancelado</v>
      </c>
      <c r="U120" s="162">
        <v>45407</v>
      </c>
      <c r="V120" s="107">
        <v>45415</v>
      </c>
      <c r="W120" s="107">
        <f>Tabla2[[#This Row],[Fecha]]-DAY(Tabla2[[#This Row],[Fecha]])+1</f>
        <v>45352</v>
      </c>
      <c r="X120" s="96"/>
    </row>
    <row r="121" spans="1:24" x14ac:dyDescent="0.3">
      <c r="A121" s="30" t="s">
        <v>928</v>
      </c>
      <c r="B121" s="77"/>
      <c r="C121" s="30">
        <v>2024</v>
      </c>
      <c r="D121" s="107">
        <v>45383</v>
      </c>
      <c r="E121" s="30" t="s">
        <v>367</v>
      </c>
      <c r="F121" s="30"/>
      <c r="G121" s="30" t="s">
        <v>1005</v>
      </c>
      <c r="H121" s="107">
        <v>45292</v>
      </c>
      <c r="I121" s="30" t="s">
        <v>780</v>
      </c>
      <c r="J121" s="73" t="s">
        <v>771</v>
      </c>
      <c r="K121" s="30">
        <v>4</v>
      </c>
      <c r="L121" s="73" t="s">
        <v>477</v>
      </c>
      <c r="M121" s="74">
        <v>5100</v>
      </c>
      <c r="N121" s="74">
        <f>Tabla2[[#This Row],[Cuota]]*12</f>
        <v>61200</v>
      </c>
      <c r="O121" s="88" t="s">
        <v>525</v>
      </c>
      <c r="P121" s="74">
        <f t="shared" si="9"/>
        <v>5100</v>
      </c>
      <c r="Q121" s="30" t="s">
        <v>321</v>
      </c>
      <c r="R121" s="30" t="s">
        <v>238</v>
      </c>
      <c r="S121" s="30" t="s">
        <v>243</v>
      </c>
      <c r="T121" s="30" t="str">
        <f>IF(AND(Tabla2[[#This Row],[F Venc]]&lt;&gt;"", Tabla2[[#This Row],[Fecha pago]]=""), "Pendiente", "Cancelado")</f>
        <v>Cancelado</v>
      </c>
      <c r="U121" s="162">
        <v>45436</v>
      </c>
      <c r="V121" s="107">
        <v>45435</v>
      </c>
      <c r="W121" s="107">
        <f>Tabla2[[#This Row],[Fecha]]-DAY(Tabla2[[#This Row],[Fecha]])+1</f>
        <v>45383</v>
      </c>
      <c r="X121" s="96"/>
    </row>
    <row r="122" spans="1:24" x14ac:dyDescent="0.3">
      <c r="A122" s="30" t="s">
        <v>929</v>
      </c>
      <c r="B122" s="77"/>
      <c r="C122" s="30">
        <v>2024</v>
      </c>
      <c r="D122" s="107">
        <v>45444</v>
      </c>
      <c r="E122" s="30" t="s">
        <v>367</v>
      </c>
      <c r="F122" s="30"/>
      <c r="G122" s="30" t="s">
        <v>1010</v>
      </c>
      <c r="H122" s="107">
        <v>45292</v>
      </c>
      <c r="I122" s="30" t="s">
        <v>780</v>
      </c>
      <c r="J122" s="73" t="s">
        <v>771</v>
      </c>
      <c r="K122" s="30">
        <v>5</v>
      </c>
      <c r="L122" s="73" t="s">
        <v>486</v>
      </c>
      <c r="M122" s="74">
        <v>5100</v>
      </c>
      <c r="N122" s="74">
        <f>Tabla2[[#This Row],[Cuota]]*12</f>
        <v>61200</v>
      </c>
      <c r="O122" s="88" t="s">
        <v>525</v>
      </c>
      <c r="P122" s="74">
        <f t="shared" si="9"/>
        <v>5100</v>
      </c>
      <c r="Q122" s="30" t="s">
        <v>321</v>
      </c>
      <c r="R122" s="30" t="s">
        <v>238</v>
      </c>
      <c r="S122" s="30" t="s">
        <v>243</v>
      </c>
      <c r="T122" s="30" t="str">
        <f>IF(AND(Tabla2[[#This Row],[F Venc]]&lt;&gt;"", Tabla2[[#This Row],[Fecha pago]]=""), "Pendiente", "Cancelado")</f>
        <v>Cancelado</v>
      </c>
      <c r="U122" s="162">
        <v>45484</v>
      </c>
      <c r="V122" s="107">
        <v>45484</v>
      </c>
      <c r="W122" s="107">
        <f>Tabla2[[#This Row],[Fecha]]-DAY(Tabla2[[#This Row],[Fecha]])+1</f>
        <v>45444</v>
      </c>
      <c r="X122" s="96"/>
    </row>
    <row r="123" spans="1:24" x14ac:dyDescent="0.3">
      <c r="A123" s="30" t="s">
        <v>930</v>
      </c>
      <c r="B123" s="77"/>
      <c r="C123" s="30">
        <v>2024</v>
      </c>
      <c r="D123" s="107">
        <v>45474</v>
      </c>
      <c r="E123" s="30" t="s">
        <v>367</v>
      </c>
      <c r="F123" s="30"/>
      <c r="G123" s="70" t="s">
        <v>1025</v>
      </c>
      <c r="H123" s="107">
        <v>45292</v>
      </c>
      <c r="I123" s="30" t="s">
        <v>780</v>
      </c>
      <c r="J123" s="73" t="s">
        <v>771</v>
      </c>
      <c r="K123" s="30">
        <v>6</v>
      </c>
      <c r="L123" s="73" t="s">
        <v>496</v>
      </c>
      <c r="M123" s="74">
        <v>5100</v>
      </c>
      <c r="N123" s="74">
        <f>Tabla2[[#This Row],[Cuota]]*12</f>
        <v>61200</v>
      </c>
      <c r="O123" s="88" t="s">
        <v>525</v>
      </c>
      <c r="P123" s="74">
        <f t="shared" si="9"/>
        <v>5100</v>
      </c>
      <c r="Q123" s="30" t="s">
        <v>321</v>
      </c>
      <c r="R123" s="30" t="s">
        <v>238</v>
      </c>
      <c r="S123" s="30" t="s">
        <v>243</v>
      </c>
      <c r="T123" s="30" t="str">
        <f>IF(AND(Tabla2[[#This Row],[F Venc]]&lt;&gt;"", Tabla2[[#This Row],[Fecha pago]]=""), "Pendiente", "Cancelado")</f>
        <v>Pendiente</v>
      </c>
      <c r="U123" s="162">
        <v>45509</v>
      </c>
      <c r="V123" s="107"/>
      <c r="W123" s="107">
        <f>Tabla2[[#This Row],[Fecha]]-DAY(Tabla2[[#This Row],[Fecha]])+1</f>
        <v>45474</v>
      </c>
      <c r="X123" s="96"/>
    </row>
    <row r="124" spans="1:24" x14ac:dyDescent="0.3">
      <c r="A124" s="30" t="s">
        <v>931</v>
      </c>
      <c r="B124" s="77"/>
      <c r="C124" s="30">
        <v>2024</v>
      </c>
      <c r="D124" s="220">
        <v>45505</v>
      </c>
      <c r="E124" s="30" t="s">
        <v>367</v>
      </c>
      <c r="F124" s="30"/>
      <c r="G124" s="30"/>
      <c r="H124" s="107">
        <v>45292</v>
      </c>
      <c r="I124" s="30" t="s">
        <v>780</v>
      </c>
      <c r="J124" s="73" t="s">
        <v>771</v>
      </c>
      <c r="K124" s="30">
        <v>7</v>
      </c>
      <c r="L124" s="73" t="s">
        <v>497</v>
      </c>
      <c r="M124" s="74">
        <v>5100</v>
      </c>
      <c r="N124" s="74">
        <f>Tabla2[[#This Row],[Cuota]]*12</f>
        <v>61200</v>
      </c>
      <c r="O124" s="88" t="s">
        <v>525</v>
      </c>
      <c r="P124" s="74">
        <f t="shared" si="9"/>
        <v>5100</v>
      </c>
      <c r="Q124" s="30" t="s">
        <v>321</v>
      </c>
      <c r="R124" s="30" t="s">
        <v>238</v>
      </c>
      <c r="S124" s="30" t="s">
        <v>243</v>
      </c>
      <c r="T124" s="30"/>
      <c r="U124" s="30"/>
      <c r="V124" s="107"/>
      <c r="W124" s="107">
        <f>Tabla2[[#This Row],[Fecha]]-DAY(Tabla2[[#This Row],[Fecha]])+1</f>
        <v>45505</v>
      </c>
      <c r="X124" s="96"/>
    </row>
    <row r="125" spans="1:24" x14ac:dyDescent="0.3">
      <c r="A125" s="30" t="s">
        <v>932</v>
      </c>
      <c r="B125" s="77"/>
      <c r="C125" s="30">
        <v>2024</v>
      </c>
      <c r="D125" s="220">
        <v>45536</v>
      </c>
      <c r="E125" s="30" t="s">
        <v>367</v>
      </c>
      <c r="F125" s="30"/>
      <c r="G125" s="30"/>
      <c r="H125" s="107">
        <v>45292</v>
      </c>
      <c r="I125" s="30" t="s">
        <v>780</v>
      </c>
      <c r="J125" s="73" t="s">
        <v>771</v>
      </c>
      <c r="K125" s="30">
        <v>8</v>
      </c>
      <c r="L125" s="73" t="s">
        <v>498</v>
      </c>
      <c r="M125" s="74">
        <v>5100</v>
      </c>
      <c r="N125" s="74">
        <f>Tabla2[[#This Row],[Cuota]]*12</f>
        <v>61200</v>
      </c>
      <c r="O125" s="88" t="s">
        <v>525</v>
      </c>
      <c r="P125" s="74">
        <f t="shared" si="9"/>
        <v>5100</v>
      </c>
      <c r="Q125" s="30" t="s">
        <v>321</v>
      </c>
      <c r="R125" s="30" t="s">
        <v>238</v>
      </c>
      <c r="S125" s="30" t="s">
        <v>243</v>
      </c>
      <c r="T125" s="30"/>
      <c r="U125" s="30"/>
      <c r="V125" s="107"/>
      <c r="W125" s="107">
        <f>Tabla2[[#This Row],[Fecha]]-DAY(Tabla2[[#This Row],[Fecha]])+1</f>
        <v>45536</v>
      </c>
      <c r="X125" s="96"/>
    </row>
    <row r="126" spans="1:24" x14ac:dyDescent="0.3">
      <c r="A126" s="30" t="s">
        <v>933</v>
      </c>
      <c r="B126" s="77"/>
      <c r="C126" s="30">
        <v>2024</v>
      </c>
      <c r="D126" s="220">
        <v>45566</v>
      </c>
      <c r="E126" s="30" t="s">
        <v>367</v>
      </c>
      <c r="F126" s="30"/>
      <c r="G126" s="30"/>
      <c r="H126" s="107">
        <v>45292</v>
      </c>
      <c r="I126" s="30" t="s">
        <v>780</v>
      </c>
      <c r="J126" s="73" t="s">
        <v>771</v>
      </c>
      <c r="K126" s="30">
        <v>9</v>
      </c>
      <c r="L126" s="73" t="s">
        <v>499</v>
      </c>
      <c r="M126" s="74">
        <v>5100</v>
      </c>
      <c r="N126" s="74">
        <f>Tabla2[[#This Row],[Cuota]]*12</f>
        <v>61200</v>
      </c>
      <c r="O126" s="88" t="s">
        <v>525</v>
      </c>
      <c r="P126" s="74">
        <f t="shared" si="9"/>
        <v>5100</v>
      </c>
      <c r="Q126" s="30" t="s">
        <v>321</v>
      </c>
      <c r="R126" s="30" t="s">
        <v>238</v>
      </c>
      <c r="S126" s="30" t="s">
        <v>243</v>
      </c>
      <c r="T126" s="30"/>
      <c r="U126" s="30"/>
      <c r="V126" s="107"/>
      <c r="W126" s="107">
        <f>Tabla2[[#This Row],[Fecha]]-DAY(Tabla2[[#This Row],[Fecha]])+1</f>
        <v>45566</v>
      </c>
      <c r="X126" s="96"/>
    </row>
    <row r="127" spans="1:24" x14ac:dyDescent="0.3">
      <c r="A127" s="30" t="s">
        <v>934</v>
      </c>
      <c r="B127" s="77"/>
      <c r="C127" s="30">
        <v>2024</v>
      </c>
      <c r="D127" s="220">
        <v>45597</v>
      </c>
      <c r="E127" s="30" t="s">
        <v>367</v>
      </c>
      <c r="F127" s="30"/>
      <c r="G127" s="30"/>
      <c r="H127" s="107">
        <v>45292</v>
      </c>
      <c r="I127" s="30" t="s">
        <v>780</v>
      </c>
      <c r="J127" s="73" t="s">
        <v>771</v>
      </c>
      <c r="K127" s="30">
        <v>10</v>
      </c>
      <c r="L127" s="73" t="s">
        <v>500</v>
      </c>
      <c r="M127" s="74">
        <v>5100</v>
      </c>
      <c r="N127" s="74">
        <f>Tabla2[[#This Row],[Cuota]]*12</f>
        <v>61200</v>
      </c>
      <c r="O127" s="88" t="s">
        <v>525</v>
      </c>
      <c r="P127" s="74">
        <f t="shared" si="9"/>
        <v>5100</v>
      </c>
      <c r="Q127" s="30" t="s">
        <v>321</v>
      </c>
      <c r="R127" s="30" t="s">
        <v>238</v>
      </c>
      <c r="S127" s="30" t="s">
        <v>243</v>
      </c>
      <c r="T127" s="30"/>
      <c r="U127" s="30"/>
      <c r="V127" s="107"/>
      <c r="W127" s="107">
        <f>Tabla2[[#This Row],[Fecha]]-DAY(Tabla2[[#This Row],[Fecha]])+1</f>
        <v>45597</v>
      </c>
      <c r="X127" s="96"/>
    </row>
    <row r="128" spans="1:24" x14ac:dyDescent="0.3">
      <c r="A128" s="30" t="s">
        <v>935</v>
      </c>
      <c r="B128" s="77"/>
      <c r="C128" s="30">
        <v>2024</v>
      </c>
      <c r="D128" s="220">
        <v>45627</v>
      </c>
      <c r="E128" s="30" t="s">
        <v>367</v>
      </c>
      <c r="F128" s="30"/>
      <c r="G128" s="30"/>
      <c r="H128" s="107">
        <v>45292</v>
      </c>
      <c r="I128" s="30" t="s">
        <v>780</v>
      </c>
      <c r="J128" s="73" t="s">
        <v>771</v>
      </c>
      <c r="K128" s="30">
        <v>11</v>
      </c>
      <c r="L128" s="73" t="s">
        <v>501</v>
      </c>
      <c r="M128" s="74">
        <v>5100</v>
      </c>
      <c r="N128" s="74">
        <f>Tabla2[[#This Row],[Cuota]]*12</f>
        <v>61200</v>
      </c>
      <c r="O128" s="88" t="s">
        <v>525</v>
      </c>
      <c r="P128" s="74">
        <f t="shared" si="9"/>
        <v>5100</v>
      </c>
      <c r="Q128" s="30" t="s">
        <v>321</v>
      </c>
      <c r="R128" s="30" t="s">
        <v>238</v>
      </c>
      <c r="S128" s="30" t="s">
        <v>243</v>
      </c>
      <c r="T128" s="30"/>
      <c r="U128" s="30"/>
      <c r="V128" s="107"/>
      <c r="W128" s="107">
        <f>Tabla2[[#This Row],[Fecha]]-DAY(Tabla2[[#This Row],[Fecha]])+1</f>
        <v>45627</v>
      </c>
      <c r="X128" s="96"/>
    </row>
    <row r="129" spans="1:24" x14ac:dyDescent="0.3">
      <c r="A129" s="30" t="s">
        <v>936</v>
      </c>
      <c r="B129" s="77"/>
      <c r="C129" s="30">
        <v>2024</v>
      </c>
      <c r="D129" s="220">
        <v>45658</v>
      </c>
      <c r="E129" s="30" t="s">
        <v>367</v>
      </c>
      <c r="F129" s="30"/>
      <c r="G129" s="30"/>
      <c r="H129" s="107">
        <v>45292</v>
      </c>
      <c r="I129" s="30" t="s">
        <v>780</v>
      </c>
      <c r="J129" s="73" t="s">
        <v>771</v>
      </c>
      <c r="K129" s="30">
        <v>12</v>
      </c>
      <c r="L129" s="73" t="s">
        <v>502</v>
      </c>
      <c r="M129" s="74">
        <v>5100</v>
      </c>
      <c r="N129" s="74">
        <f>Tabla2[[#This Row],[Cuota]]*12</f>
        <v>61200</v>
      </c>
      <c r="O129" s="88" t="s">
        <v>525</v>
      </c>
      <c r="P129" s="74">
        <f t="shared" si="9"/>
        <v>5100</v>
      </c>
      <c r="Q129" s="30" t="s">
        <v>321</v>
      </c>
      <c r="R129" s="30" t="s">
        <v>238</v>
      </c>
      <c r="S129" s="30" t="s">
        <v>243</v>
      </c>
      <c r="T129" s="30"/>
      <c r="U129" s="30"/>
      <c r="V129" s="107"/>
      <c r="W129" s="107">
        <f>Tabla2[[#This Row],[Fecha]]-DAY(Tabla2[[#This Row],[Fecha]])+1</f>
        <v>45658</v>
      </c>
      <c r="X129" s="96"/>
    </row>
    <row r="130" spans="1:24" x14ac:dyDescent="0.3">
      <c r="A130" s="30" t="s">
        <v>937</v>
      </c>
      <c r="B130" s="77"/>
      <c r="C130" s="30">
        <v>2024</v>
      </c>
      <c r="D130" s="107">
        <v>45323</v>
      </c>
      <c r="E130" s="30" t="s">
        <v>380</v>
      </c>
      <c r="F130" s="30"/>
      <c r="G130" s="30" t="s">
        <v>789</v>
      </c>
      <c r="H130" s="107">
        <v>45323</v>
      </c>
      <c r="I130" s="30"/>
      <c r="J130" s="73" t="s">
        <v>783</v>
      </c>
      <c r="K130" s="30">
        <v>1</v>
      </c>
      <c r="L130" s="73" t="s">
        <v>618</v>
      </c>
      <c r="M130" s="74">
        <v>11000</v>
      </c>
      <c r="N130" s="74">
        <f>11000*2</f>
        <v>22000</v>
      </c>
      <c r="O130" s="88" t="s">
        <v>525</v>
      </c>
      <c r="P130" s="74">
        <f t="shared" ref="P130:P137" si="10">IF(O130="SOL",M130,M130*$J$1)</f>
        <v>11000</v>
      </c>
      <c r="Q130" s="30" t="s">
        <v>321</v>
      </c>
      <c r="R130" s="30" t="s">
        <v>238</v>
      </c>
      <c r="S130" s="30" t="s">
        <v>243</v>
      </c>
      <c r="T130" s="30" t="s">
        <v>385</v>
      </c>
      <c r="U130" s="162">
        <v>45371</v>
      </c>
      <c r="V130" s="107">
        <v>45372</v>
      </c>
      <c r="W130" s="107">
        <f>Tabla2[[#This Row],[Fecha]]-DAY(Tabla2[[#This Row],[Fecha]])+1</f>
        <v>45323</v>
      </c>
      <c r="X130" s="96"/>
    </row>
    <row r="131" spans="1:24" x14ac:dyDescent="0.3">
      <c r="A131" s="30" t="s">
        <v>938</v>
      </c>
      <c r="B131" s="77"/>
      <c r="C131" s="30">
        <v>2024</v>
      </c>
      <c r="D131" s="221">
        <v>45536</v>
      </c>
      <c r="E131" s="30" t="s">
        <v>380</v>
      </c>
      <c r="F131" s="30"/>
      <c r="G131" s="30"/>
      <c r="H131" s="107">
        <v>45323</v>
      </c>
      <c r="I131" s="30"/>
      <c r="J131" s="73" t="s">
        <v>783</v>
      </c>
      <c r="K131" s="30">
        <v>2</v>
      </c>
      <c r="L131" s="73" t="s">
        <v>619</v>
      </c>
      <c r="M131" s="74">
        <v>11000</v>
      </c>
      <c r="N131" s="74">
        <f>11000*2</f>
        <v>22000</v>
      </c>
      <c r="O131" s="88" t="s">
        <v>525</v>
      </c>
      <c r="P131" s="74">
        <f t="shared" ref="P131" si="11">IF(O131="SOL",M131,M131*$J$1)</f>
        <v>11000</v>
      </c>
      <c r="Q131" s="30" t="s">
        <v>321</v>
      </c>
      <c r="R131" s="30" t="s">
        <v>238</v>
      </c>
      <c r="S131" s="30" t="s">
        <v>243</v>
      </c>
      <c r="T131" s="30"/>
      <c r="U131" s="30"/>
      <c r="V131" s="107"/>
      <c r="W131" s="107">
        <f>Tabla2[[#This Row],[Fecha]]-DAY(Tabla2[[#This Row],[Fecha]])+1</f>
        <v>45536</v>
      </c>
      <c r="X131" s="96"/>
    </row>
    <row r="132" spans="1:24" x14ac:dyDescent="0.3">
      <c r="A132" s="30" t="s">
        <v>939</v>
      </c>
      <c r="B132" s="77" t="s">
        <v>806</v>
      </c>
      <c r="C132" s="30">
        <v>2024</v>
      </c>
      <c r="D132" s="107">
        <v>45352</v>
      </c>
      <c r="E132" s="30" t="s">
        <v>380</v>
      </c>
      <c r="F132" s="73" t="s">
        <v>801</v>
      </c>
      <c r="G132" s="30" t="s">
        <v>791</v>
      </c>
      <c r="H132" s="107">
        <v>45352</v>
      </c>
      <c r="I132" s="30" t="s">
        <v>790</v>
      </c>
      <c r="J132" s="73" t="s">
        <v>802</v>
      </c>
      <c r="K132" s="30">
        <v>1</v>
      </c>
      <c r="L132" s="73" t="s">
        <v>390</v>
      </c>
      <c r="M132" s="74">
        <v>650</v>
      </c>
      <c r="N132" s="74">
        <v>650</v>
      </c>
      <c r="O132" s="88" t="s">
        <v>525</v>
      </c>
      <c r="P132" s="74">
        <f t="shared" si="10"/>
        <v>650</v>
      </c>
      <c r="Q132" s="30" t="s">
        <v>384</v>
      </c>
      <c r="R132" s="30" t="s">
        <v>238</v>
      </c>
      <c r="S132" s="30" t="s">
        <v>15</v>
      </c>
      <c r="T132" s="30" t="str">
        <f>IF(AND(Tabla2[[#This Row],[F Venc]]&lt;&gt;"", Tabla2[[#This Row],[Fecha pago]]=""), "Pendiente", "Cancelado")</f>
        <v>Cancelado</v>
      </c>
      <c r="U132" s="162">
        <v>45384</v>
      </c>
      <c r="V132" s="107">
        <v>45387</v>
      </c>
      <c r="W132" s="107">
        <f>Tabla2[[#This Row],[Fecha]]-DAY(Tabla2[[#This Row],[Fecha]])+1</f>
        <v>45352</v>
      </c>
      <c r="X132" s="96"/>
    </row>
    <row r="133" spans="1:24" x14ac:dyDescent="0.3">
      <c r="A133" s="30" t="s">
        <v>940</v>
      </c>
      <c r="B133" s="77"/>
      <c r="C133" s="30">
        <v>2024</v>
      </c>
      <c r="D133" s="107">
        <v>45352</v>
      </c>
      <c r="E133" s="30" t="s">
        <v>621</v>
      </c>
      <c r="F133" s="30"/>
      <c r="G133" s="30" t="s">
        <v>795</v>
      </c>
      <c r="H133" s="107">
        <v>45352</v>
      </c>
      <c r="I133" s="30"/>
      <c r="J133" s="73" t="s">
        <v>792</v>
      </c>
      <c r="K133" s="30">
        <v>1</v>
      </c>
      <c r="L133" s="73" t="s">
        <v>390</v>
      </c>
      <c r="M133" s="182">
        <v>985</v>
      </c>
      <c r="N133" s="182">
        <v>985</v>
      </c>
      <c r="O133" s="88" t="s">
        <v>525</v>
      </c>
      <c r="P133" s="74">
        <f t="shared" si="10"/>
        <v>985</v>
      </c>
      <c r="Q133" s="30" t="s">
        <v>321</v>
      </c>
      <c r="R133" s="30" t="s">
        <v>238</v>
      </c>
      <c r="S133" s="30" t="s">
        <v>243</v>
      </c>
      <c r="T133" s="30" t="s">
        <v>385</v>
      </c>
      <c r="U133" s="162">
        <v>45373</v>
      </c>
      <c r="V133" s="107">
        <v>45352</v>
      </c>
      <c r="W133" s="107">
        <f>Tabla2[[#This Row],[Fecha]]-DAY(Tabla2[[#This Row],[Fecha]])+1</f>
        <v>45352</v>
      </c>
      <c r="X133" s="96"/>
    </row>
    <row r="134" spans="1:24" x14ac:dyDescent="0.3">
      <c r="A134" s="30" t="s">
        <v>941</v>
      </c>
      <c r="B134" s="77" t="s">
        <v>995</v>
      </c>
      <c r="C134" s="30">
        <v>2024</v>
      </c>
      <c r="D134" s="107">
        <v>45383</v>
      </c>
      <c r="E134" s="30" t="s">
        <v>367</v>
      </c>
      <c r="F134" s="30"/>
      <c r="G134" s="30" t="s">
        <v>1003</v>
      </c>
      <c r="H134" s="107">
        <v>45352</v>
      </c>
      <c r="I134" s="30" t="s">
        <v>984</v>
      </c>
      <c r="J134" s="193" t="s">
        <v>793</v>
      </c>
      <c r="K134" s="30">
        <v>1</v>
      </c>
      <c r="L134" s="193" t="s">
        <v>618</v>
      </c>
      <c r="M134" s="182">
        <v>2490</v>
      </c>
      <c r="N134" s="182">
        <f>2490*2</f>
        <v>4980</v>
      </c>
      <c r="O134" s="88" t="s">
        <v>525</v>
      </c>
      <c r="P134" s="74">
        <f t="shared" si="10"/>
        <v>2490</v>
      </c>
      <c r="Q134" s="30" t="s">
        <v>384</v>
      </c>
      <c r="R134" s="30" t="s">
        <v>238</v>
      </c>
      <c r="S134" s="30" t="s">
        <v>110</v>
      </c>
      <c r="T134" s="30" t="str">
        <f>IF(AND(Tabla2[[#This Row],[F Venc]]&lt;&gt;"", Tabla2[[#This Row],[Fecha pago]]=""), "Pendiente", "Cancelado")</f>
        <v>Cancelado</v>
      </c>
      <c r="U134" s="162">
        <v>45434</v>
      </c>
      <c r="V134" s="107">
        <v>45428</v>
      </c>
      <c r="W134" s="107">
        <f>Tabla2[[#This Row],[Fecha]]-DAY(Tabla2[[#This Row],[Fecha]])+1</f>
        <v>45383</v>
      </c>
      <c r="X134" s="96"/>
    </row>
    <row r="135" spans="1:24" x14ac:dyDescent="0.3">
      <c r="A135" s="30" t="s">
        <v>942</v>
      </c>
      <c r="B135" s="77" t="s">
        <v>995</v>
      </c>
      <c r="C135" s="30">
        <v>2024</v>
      </c>
      <c r="D135" s="221">
        <v>45505</v>
      </c>
      <c r="E135" s="30" t="s">
        <v>367</v>
      </c>
      <c r="F135" s="30"/>
      <c r="G135" s="30"/>
      <c r="H135" s="107">
        <v>45352</v>
      </c>
      <c r="I135" s="30" t="s">
        <v>984</v>
      </c>
      <c r="J135" s="193" t="s">
        <v>793</v>
      </c>
      <c r="K135" s="30">
        <v>2</v>
      </c>
      <c r="L135" s="193" t="s">
        <v>619</v>
      </c>
      <c r="M135" s="182">
        <v>2490</v>
      </c>
      <c r="N135" s="182">
        <f>2490*2</f>
        <v>4980</v>
      </c>
      <c r="O135" s="88" t="s">
        <v>525</v>
      </c>
      <c r="P135" s="74">
        <f t="shared" si="10"/>
        <v>2490</v>
      </c>
      <c r="Q135" s="30" t="s">
        <v>384</v>
      </c>
      <c r="R135" s="30" t="s">
        <v>238</v>
      </c>
      <c r="S135" s="30" t="s">
        <v>110</v>
      </c>
      <c r="T135" s="30"/>
      <c r="U135" s="30"/>
      <c r="V135" s="107"/>
      <c r="W135" s="107">
        <f>Tabla2[[#This Row],[Fecha]]-DAY(Tabla2[[#This Row],[Fecha]])+1</f>
        <v>45505</v>
      </c>
      <c r="X135" s="96"/>
    </row>
    <row r="136" spans="1:24" x14ac:dyDescent="0.3">
      <c r="A136" s="30" t="s">
        <v>943</v>
      </c>
      <c r="B136" s="77" t="s">
        <v>997</v>
      </c>
      <c r="C136" s="30">
        <v>2024</v>
      </c>
      <c r="D136" s="107">
        <v>45383</v>
      </c>
      <c r="E136" s="30" t="s">
        <v>367</v>
      </c>
      <c r="F136" s="30"/>
      <c r="G136" s="30" t="s">
        <v>1004</v>
      </c>
      <c r="H136" s="107">
        <v>45352</v>
      </c>
      <c r="I136" s="30" t="s">
        <v>985</v>
      </c>
      <c r="J136" s="193" t="s">
        <v>794</v>
      </c>
      <c r="K136" s="30">
        <v>1</v>
      </c>
      <c r="L136" s="193" t="s">
        <v>618</v>
      </c>
      <c r="M136" s="182">
        <v>890</v>
      </c>
      <c r="N136" s="182">
        <f>890*2</f>
        <v>1780</v>
      </c>
      <c r="O136" s="88" t="s">
        <v>525</v>
      </c>
      <c r="P136" s="74">
        <f t="shared" si="10"/>
        <v>890</v>
      </c>
      <c r="Q136" s="30" t="s">
        <v>384</v>
      </c>
      <c r="R136" s="30" t="s">
        <v>238</v>
      </c>
      <c r="S136" s="30" t="s">
        <v>243</v>
      </c>
      <c r="T136" s="30" t="str">
        <f>IF(AND(Tabla2[[#This Row],[F Venc]]&lt;&gt;"", Tabla2[[#This Row],[Fecha pago]]=""), "Pendiente", "Cancelado")</f>
        <v>Cancelado</v>
      </c>
      <c r="U136" s="162">
        <v>45434</v>
      </c>
      <c r="V136" s="107">
        <v>45428</v>
      </c>
      <c r="W136" s="107">
        <f>Tabla2[[#This Row],[Fecha]]-DAY(Tabla2[[#This Row],[Fecha]])+1</f>
        <v>45383</v>
      </c>
      <c r="X136" s="96"/>
    </row>
    <row r="137" spans="1:24" x14ac:dyDescent="0.3">
      <c r="A137" s="30" t="s">
        <v>944</v>
      </c>
      <c r="B137" s="77" t="s">
        <v>997</v>
      </c>
      <c r="C137" s="30">
        <v>2024</v>
      </c>
      <c r="D137" s="221">
        <v>45505</v>
      </c>
      <c r="E137" s="30" t="s">
        <v>367</v>
      </c>
      <c r="F137" s="30"/>
      <c r="G137" s="30"/>
      <c r="H137" s="107">
        <v>45352</v>
      </c>
      <c r="I137" s="30" t="s">
        <v>985</v>
      </c>
      <c r="J137" s="193" t="s">
        <v>794</v>
      </c>
      <c r="K137" s="30">
        <v>2</v>
      </c>
      <c r="L137" s="193" t="s">
        <v>619</v>
      </c>
      <c r="M137" s="182">
        <v>890</v>
      </c>
      <c r="N137" s="182">
        <f>890*2</f>
        <v>1780</v>
      </c>
      <c r="O137" s="88" t="s">
        <v>525</v>
      </c>
      <c r="P137" s="74">
        <f t="shared" si="10"/>
        <v>890</v>
      </c>
      <c r="Q137" s="30" t="s">
        <v>384</v>
      </c>
      <c r="R137" s="30" t="s">
        <v>238</v>
      </c>
      <c r="S137" s="30" t="s">
        <v>243</v>
      </c>
      <c r="T137" s="30"/>
      <c r="U137" s="30"/>
      <c r="V137" s="107"/>
      <c r="W137" s="107">
        <f>Tabla2[[#This Row],[Fecha]]-DAY(Tabla2[[#This Row],[Fecha]])+1</f>
        <v>45505</v>
      </c>
      <c r="X137" s="96"/>
    </row>
    <row r="138" spans="1:24" x14ac:dyDescent="0.3">
      <c r="A138" s="30" t="s">
        <v>1019</v>
      </c>
      <c r="B138" s="77" t="s">
        <v>1013</v>
      </c>
      <c r="C138" s="30">
        <v>2024</v>
      </c>
      <c r="D138" s="221">
        <v>45505</v>
      </c>
      <c r="E138" s="102" t="s">
        <v>380</v>
      </c>
      <c r="F138" s="102"/>
      <c r="G138" s="102"/>
      <c r="H138" s="107">
        <v>45444</v>
      </c>
      <c r="I138" s="102" t="s">
        <v>1021</v>
      </c>
      <c r="J138" s="103" t="s">
        <v>1014</v>
      </c>
      <c r="K138" s="102">
        <v>1</v>
      </c>
      <c r="L138" s="103" t="s">
        <v>390</v>
      </c>
      <c r="M138" s="182">
        <v>11960</v>
      </c>
      <c r="N138" s="182">
        <v>11960</v>
      </c>
      <c r="O138" s="88" t="s">
        <v>525</v>
      </c>
      <c r="P138" s="104">
        <f>IF(O138="SOL",M138,M138*$J$1)</f>
        <v>11960</v>
      </c>
      <c r="Q138" s="30" t="s">
        <v>384</v>
      </c>
      <c r="R138" s="30" t="s">
        <v>238</v>
      </c>
      <c r="S138" s="30" t="s">
        <v>15</v>
      </c>
      <c r="T138" s="102"/>
      <c r="U138" s="102"/>
      <c r="V138" s="236" t="str">
        <f>IF(T138="Cancelado",MONTH(D138),"")</f>
        <v/>
      </c>
      <c r="W138" s="153">
        <f>Tabla2[[#This Row],[Fecha]]-DAY(Tabla2[[#This Row],[Fecha]])+1</f>
        <v>45505</v>
      </c>
      <c r="X138" s="237"/>
    </row>
    <row r="139" spans="1:24" x14ac:dyDescent="0.3">
      <c r="A139" s="30" t="s">
        <v>1020</v>
      </c>
      <c r="B139" s="77" t="s">
        <v>1024</v>
      </c>
      <c r="C139" s="30">
        <v>2024</v>
      </c>
      <c r="D139" s="107">
        <v>45474</v>
      </c>
      <c r="E139" s="102" t="s">
        <v>380</v>
      </c>
      <c r="F139" s="102"/>
      <c r="G139" s="240" t="s">
        <v>1026</v>
      </c>
      <c r="H139" s="107">
        <v>45444</v>
      </c>
      <c r="I139" s="102" t="s">
        <v>1022</v>
      </c>
      <c r="J139" s="103" t="s">
        <v>1018</v>
      </c>
      <c r="K139" s="102">
        <v>1</v>
      </c>
      <c r="L139" s="239" t="s">
        <v>390</v>
      </c>
      <c r="M139" s="182">
        <v>650</v>
      </c>
      <c r="N139" s="182">
        <v>650</v>
      </c>
      <c r="O139" s="88" t="s">
        <v>525</v>
      </c>
      <c r="P139" s="104">
        <f>IF(O139="SOL",M139,M139*$J$1)</f>
        <v>650</v>
      </c>
      <c r="Q139" s="30" t="s">
        <v>384</v>
      </c>
      <c r="R139" s="30" t="s">
        <v>238</v>
      </c>
      <c r="S139" s="30" t="s">
        <v>15</v>
      </c>
      <c r="T139" s="30" t="str">
        <f>IF(AND(Tabla2[[#This Row],[F Venc]]&lt;&gt;"", Tabla2[[#This Row],[Fecha pago]]=""), "Pendiente", "Cancelado")</f>
        <v>Pendiente</v>
      </c>
      <c r="U139" s="242">
        <v>45505</v>
      </c>
      <c r="V139" s="236"/>
      <c r="W139" s="153">
        <f>Tabla2[[#This Row],[Fecha]]-DAY(Tabla2[[#This Row],[Fecha]])+1</f>
        <v>45474</v>
      </c>
      <c r="X139" s="237"/>
    </row>
    <row r="140" spans="1:24" x14ac:dyDescent="0.3">
      <c r="A140" s="29" t="s">
        <v>1028</v>
      </c>
      <c r="B140" s="77" t="s">
        <v>1030</v>
      </c>
      <c r="C140" s="102">
        <v>2024</v>
      </c>
      <c r="D140" s="220">
        <v>45536</v>
      </c>
      <c r="E140" s="102" t="s">
        <v>367</v>
      </c>
      <c r="F140" s="102"/>
      <c r="G140" s="102"/>
      <c r="H140" s="107">
        <v>45474</v>
      </c>
      <c r="I140" s="102"/>
      <c r="J140" s="103" t="s">
        <v>1027</v>
      </c>
      <c r="K140" s="102">
        <v>1</v>
      </c>
      <c r="L140" s="103" t="s">
        <v>390</v>
      </c>
      <c r="M140" s="104">
        <v>4340</v>
      </c>
      <c r="N140" s="104">
        <v>4340</v>
      </c>
      <c r="O140" s="105" t="s">
        <v>525</v>
      </c>
      <c r="P140" s="104">
        <f>IF(O140="SOL",M140,M140*$J$1)</f>
        <v>4340</v>
      </c>
      <c r="Q140" s="238" t="s">
        <v>384</v>
      </c>
      <c r="R140" s="102" t="s">
        <v>238</v>
      </c>
      <c r="S140" s="102" t="s">
        <v>364</v>
      </c>
      <c r="T140" s="102"/>
      <c r="U140" s="102"/>
      <c r="V140" s="236" t="str">
        <f>IF(T140="Cancelado",MONTH(D140),"")</f>
        <v/>
      </c>
      <c r="W140" s="153">
        <f>Tabla2[[#This Row],[Fecha]]-DAY(Tabla2[[#This Row],[Fecha]])+1</f>
        <v>45536</v>
      </c>
      <c r="X140" s="237" t="s">
        <v>82</v>
      </c>
    </row>
    <row r="141" spans="1:24" ht="15" customHeight="1" x14ac:dyDescent="0.3">
      <c r="A141" s="29" t="s">
        <v>1032</v>
      </c>
      <c r="B141" s="77" t="s">
        <v>804</v>
      </c>
      <c r="C141" s="102">
        <v>2024</v>
      </c>
      <c r="D141" s="107">
        <v>45474</v>
      </c>
      <c r="E141" s="102" t="s">
        <v>367</v>
      </c>
      <c r="F141" s="102"/>
      <c r="G141" s="240" t="s">
        <v>1038</v>
      </c>
      <c r="H141" s="107">
        <v>45474</v>
      </c>
      <c r="I141" s="102" t="s">
        <v>1033</v>
      </c>
      <c r="J141" s="103" t="s">
        <v>1034</v>
      </c>
      <c r="K141" s="102">
        <v>1</v>
      </c>
      <c r="L141" s="193" t="s">
        <v>394</v>
      </c>
      <c r="M141" s="182">
        <f>7640*30%</f>
        <v>2292</v>
      </c>
      <c r="N141" s="104">
        <f>SUM(M141:M143)</f>
        <v>7640</v>
      </c>
      <c r="O141" s="105" t="s">
        <v>525</v>
      </c>
      <c r="P141" s="104">
        <f>IF(O141="SOL",M141,M141*$J$1)</f>
        <v>2292</v>
      </c>
      <c r="Q141" s="238" t="s">
        <v>384</v>
      </c>
      <c r="R141" s="102" t="s">
        <v>238</v>
      </c>
      <c r="S141" s="102" t="s">
        <v>364</v>
      </c>
      <c r="T141" s="30" t="str">
        <f>IF(AND(Tabla2[[#This Row],[F Venc]]&lt;&gt;"", Tabla2[[#This Row],[Fecha pago]]=""), "Pendiente", "Cancelado")</f>
        <v>Pendiente</v>
      </c>
      <c r="U141" s="242">
        <v>45496</v>
      </c>
      <c r="V141" s="236"/>
      <c r="W141" s="153">
        <f>Tabla2[[#This Row],[Fecha]]-DAY(Tabla2[[#This Row],[Fecha]])+1</f>
        <v>45474</v>
      </c>
      <c r="X141" s="237"/>
    </row>
    <row r="142" spans="1:24" x14ac:dyDescent="0.3">
      <c r="A142" s="29" t="s">
        <v>1035</v>
      </c>
      <c r="B142" s="77" t="s">
        <v>804</v>
      </c>
      <c r="C142" s="102">
        <v>2024</v>
      </c>
      <c r="D142" s="220">
        <v>45536</v>
      </c>
      <c r="E142" s="102" t="s">
        <v>367</v>
      </c>
      <c r="F142" s="30"/>
      <c r="G142" s="30"/>
      <c r="H142" s="153">
        <v>45474</v>
      </c>
      <c r="I142" s="102" t="s">
        <v>1033</v>
      </c>
      <c r="J142" s="73" t="s">
        <v>1034</v>
      </c>
      <c r="K142" s="30">
        <v>2</v>
      </c>
      <c r="L142" s="193" t="s">
        <v>412</v>
      </c>
      <c r="M142" s="182">
        <f>7640*35%</f>
        <v>2674</v>
      </c>
      <c r="N142" s="74">
        <f>N141</f>
        <v>7640</v>
      </c>
      <c r="O142" s="105" t="s">
        <v>525</v>
      </c>
      <c r="P142" s="74">
        <f t="shared" ref="P142:P143" si="12">IF(O142="SOL",M142,M142*$J$1)</f>
        <v>2674</v>
      </c>
      <c r="Q142" s="238" t="s">
        <v>384</v>
      </c>
      <c r="R142" s="102" t="s">
        <v>238</v>
      </c>
      <c r="S142" s="102" t="s">
        <v>364</v>
      </c>
      <c r="T142" s="30"/>
      <c r="U142" s="30"/>
      <c r="V142" s="246"/>
      <c r="W142" s="107">
        <f>Tabla2[[#This Row],[Fecha]]-DAY(Tabla2[[#This Row],[Fecha]])+1</f>
        <v>45536</v>
      </c>
      <c r="X142" s="96"/>
    </row>
    <row r="143" spans="1:24" x14ac:dyDescent="0.3">
      <c r="A143" s="29" t="s">
        <v>1036</v>
      </c>
      <c r="B143" s="77" t="s">
        <v>804</v>
      </c>
      <c r="C143" s="102">
        <v>2024</v>
      </c>
      <c r="D143" s="220">
        <v>45566</v>
      </c>
      <c r="E143" s="102" t="s">
        <v>367</v>
      </c>
      <c r="F143" s="102"/>
      <c r="G143" s="102"/>
      <c r="H143" s="153">
        <v>45474</v>
      </c>
      <c r="I143" s="102" t="s">
        <v>1033</v>
      </c>
      <c r="J143" s="103" t="s">
        <v>1034</v>
      </c>
      <c r="K143" s="102">
        <v>3</v>
      </c>
      <c r="L143" s="193" t="s">
        <v>420</v>
      </c>
      <c r="M143" s="182">
        <f>7640*35%</f>
        <v>2674</v>
      </c>
      <c r="N143" s="74">
        <f>N142</f>
        <v>7640</v>
      </c>
      <c r="O143" s="105" t="s">
        <v>525</v>
      </c>
      <c r="P143" s="104">
        <f t="shared" si="12"/>
        <v>2674</v>
      </c>
      <c r="Q143" s="238" t="s">
        <v>384</v>
      </c>
      <c r="R143" s="102" t="s">
        <v>238</v>
      </c>
      <c r="S143" s="102" t="s">
        <v>243</v>
      </c>
      <c r="T143" s="102"/>
      <c r="U143" s="102"/>
      <c r="V143" s="236"/>
      <c r="W143" s="153">
        <f>Tabla2[[#This Row],[Fecha]]-DAY(Tabla2[[#This Row],[Fecha]])+1</f>
        <v>45566</v>
      </c>
      <c r="X143" s="237"/>
    </row>
    <row r="144" spans="1:24" x14ac:dyDescent="0.3">
      <c r="A144" s="29" t="s">
        <v>1040</v>
      </c>
      <c r="B144" s="77" t="s">
        <v>1043</v>
      </c>
      <c r="C144" s="30">
        <v>2024</v>
      </c>
      <c r="D144" s="220">
        <v>45505</v>
      </c>
      <c r="E144" s="30" t="s">
        <v>367</v>
      </c>
      <c r="F144" s="30"/>
      <c r="G144" s="30"/>
      <c r="H144" s="107">
        <v>45474</v>
      </c>
      <c r="I144" s="30"/>
      <c r="J144" s="73" t="s">
        <v>1045</v>
      </c>
      <c r="K144" s="30">
        <v>1</v>
      </c>
      <c r="L144" s="193" t="s">
        <v>390</v>
      </c>
      <c r="M144" s="182">
        <v>1280</v>
      </c>
      <c r="N144" s="74">
        <v>1280</v>
      </c>
      <c r="O144" s="88" t="s">
        <v>1041</v>
      </c>
      <c r="P144" s="74">
        <f>IF(O144="SOL",M144,M144*$J$1)</f>
        <v>1280</v>
      </c>
      <c r="Q144" s="248" t="s">
        <v>384</v>
      </c>
      <c r="R144" s="30" t="s">
        <v>238</v>
      </c>
      <c r="S144" s="30" t="s">
        <v>21</v>
      </c>
      <c r="T144" s="30"/>
      <c r="U144" s="30"/>
      <c r="V144" s="246" t="str">
        <f>IF(T144="Cancelado",MONTH(D144),"")</f>
        <v/>
      </c>
      <c r="W144" s="107">
        <f>Tabla2[[#This Row],[Fecha]]-DAY(Tabla2[[#This Row],[Fecha]])+1</f>
        <v>45505</v>
      </c>
      <c r="X144" s="96" t="s">
        <v>82</v>
      </c>
    </row>
    <row r="145" x14ac:dyDescent="0.3"/>
    <row r="146" x14ac:dyDescent="0.3"/>
    <row r="147" x14ac:dyDescent="0.3"/>
    <row r="148" x14ac:dyDescent="0.3"/>
    <row r="149" x14ac:dyDescent="0.3"/>
    <row r="150" x14ac:dyDescent="0.3"/>
    <row r="151" x14ac:dyDescent="0.3"/>
    <row r="152" x14ac:dyDescent="0.3"/>
    <row r="153" x14ac:dyDescent="0.3"/>
    <row r="154" x14ac:dyDescent="0.3"/>
    <row r="155" x14ac:dyDescent="0.3"/>
    <row r="156" x14ac:dyDescent="0.3"/>
    <row r="157" x14ac:dyDescent="0.3"/>
    <row r="158" x14ac:dyDescent="0.3"/>
    <row r="159" x14ac:dyDescent="0.3"/>
    <row r="160" x14ac:dyDescent="0.3"/>
    <row r="161" x14ac:dyDescent="0.3"/>
    <row r="162" x14ac:dyDescent="0.3"/>
    <row r="163" x14ac:dyDescent="0.3"/>
    <row r="164" x14ac:dyDescent="0.3"/>
    <row r="165" x14ac:dyDescent="0.3"/>
    <row r="166" x14ac:dyDescent="0.3"/>
    <row r="167" x14ac:dyDescent="0.3"/>
    <row r="168" x14ac:dyDescent="0.3"/>
    <row r="169" x14ac:dyDescent="0.3"/>
    <row r="170" x14ac:dyDescent="0.3"/>
    <row r="171" x14ac:dyDescent="0.3"/>
    <row r="172" x14ac:dyDescent="0.3"/>
    <row r="173" x14ac:dyDescent="0.3"/>
    <row r="174" x14ac:dyDescent="0.3"/>
    <row r="175" x14ac:dyDescent="0.3"/>
    <row r="176" x14ac:dyDescent="0.3"/>
    <row r="177" x14ac:dyDescent="0.3"/>
    <row r="178" x14ac:dyDescent="0.3"/>
    <row r="179" x14ac:dyDescent="0.3"/>
    <row r="180" x14ac:dyDescent="0.3"/>
    <row r="181" x14ac:dyDescent="0.3"/>
    <row r="182" x14ac:dyDescent="0.3"/>
    <row r="183" x14ac:dyDescent="0.3"/>
    <row r="184" x14ac:dyDescent="0.3"/>
    <row r="185" x14ac:dyDescent="0.3"/>
    <row r="186" x14ac:dyDescent="0.3"/>
  </sheetData>
  <mergeCells count="2">
    <mergeCell ref="M1:N1"/>
    <mergeCell ref="O1:P1"/>
  </mergeCells>
  <phoneticPr fontId="8" type="noConversion"/>
  <conditionalFormatting sqref="T3:T144">
    <cfRule type="containsText" dxfId="34" priority="24" operator="containsText" text="Pendiente">
      <formula>NOT(ISERROR(SEARCH("Pendiente",T3)))</formula>
    </cfRule>
    <cfRule type="containsText" dxfId="33" priority="25" operator="containsText" text="Cancelado">
      <formula>NOT(ISERROR(SEARCH("Cancelado",T3)))</formula>
    </cfRule>
  </conditionalFormatting>
  <conditionalFormatting sqref="T66">
    <cfRule type="containsText" dxfId="32" priority="3" operator="containsText" text="Pendiente">
      <formula>NOT(ISERROR(SEARCH("Pendiente",T66)))</formula>
    </cfRule>
  </conditionalFormatting>
  <conditionalFormatting sqref="T91">
    <cfRule type="containsText" dxfId="31" priority="14" operator="containsText" text="Pendiente">
      <formula>NOT(ISERROR(SEARCH("Pendiente",T91)))</formula>
    </cfRule>
  </conditionalFormatting>
  <conditionalFormatting sqref="T94:T100">
    <cfRule type="containsText" dxfId="30" priority="15" operator="containsText" text="Pendiente">
      <formula>NOT(ISERROR(SEARCH("Pendiente",T94)))</formula>
    </cfRule>
  </conditionalFormatting>
  <conditionalFormatting sqref="T103:T105 T108 T110:T111">
    <cfRule type="containsText" dxfId="29" priority="17" operator="containsText" text="Pendiente">
      <formula>NOT(ISERROR(SEARCH("Pendiente",T103)))</formula>
    </cfRule>
  </conditionalFormatting>
  <conditionalFormatting sqref="T113">
    <cfRule type="containsText" dxfId="28" priority="21" operator="containsText" text="Pendiente">
      <formula>NOT(ISERROR(SEARCH("Pendiente",T113)))</formula>
    </cfRule>
  </conditionalFormatting>
  <conditionalFormatting sqref="T118">
    <cfRule type="containsText" dxfId="27" priority="27" operator="containsText" text="Pendiente">
      <formula>NOT(ISERROR(SEARCH("Pendiente",T118)))</formula>
    </cfRule>
  </conditionalFormatting>
  <conditionalFormatting sqref="T120:T123">
    <cfRule type="containsText" dxfId="26" priority="6" operator="containsText" text="Pendiente">
      <formula>NOT(ISERROR(SEARCH("Pendiente",T120)))</formula>
    </cfRule>
  </conditionalFormatting>
  <conditionalFormatting sqref="T132">
    <cfRule type="containsText" dxfId="25" priority="7" operator="containsText" text="Pendiente">
      <formula>NOT(ISERROR(SEARCH("Pendiente",T132)))</formula>
    </cfRule>
  </conditionalFormatting>
  <conditionalFormatting sqref="T134">
    <cfRule type="containsText" dxfId="24" priority="4" operator="containsText" text="Pendiente">
      <formula>NOT(ISERROR(SEARCH("Pendiente",T134)))</formula>
    </cfRule>
  </conditionalFormatting>
  <conditionalFormatting sqref="T136">
    <cfRule type="containsText" dxfId="23" priority="5" operator="containsText" text="Pendiente">
      <formula>NOT(ISERROR(SEARCH("Pendiente",T136)))</formula>
    </cfRule>
  </conditionalFormatting>
  <conditionalFormatting sqref="T139">
    <cfRule type="containsText" dxfId="22" priority="2" operator="containsText" text="Pendiente">
      <formula>NOT(ISERROR(SEARCH("Pendiente",T139)))</formula>
    </cfRule>
  </conditionalFormatting>
  <conditionalFormatting sqref="T141">
    <cfRule type="containsText" dxfId="21" priority="1" operator="containsText" text="Pendiente">
      <formula>NOT(ISERROR(SEARCH("Pendiente",T141)))</formula>
    </cfRule>
  </conditionalFormatting>
  <conditionalFormatting sqref="T3:U144 T1:X1 T2:V2 W82:W137">
    <cfRule type="cellIs" dxfId="20" priority="28" operator="equal">
      <formula>"Cancelado"</formula>
    </cfRule>
  </conditionalFormatting>
  <pageMargins left="0.7" right="0.7" top="0.75" bottom="0.75" header="0.3" footer="0.3"/>
  <pageSetup paperSize="9" orientation="portrait" r:id="rId1"/>
  <ignoredErrors>
    <ignoredError sqref="V3:V4 V5:V25 V59 V26:V58 V60:V65 V118:V119 V130:V131 V133 V106:V111 V95:V99 V101:V102 V88:V93 V113 V67:V86" calculatedColumn="1"/>
  </ignoredError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BE39C-9D05-4E50-B7F3-3F7DF3860838}">
  <sheetPr>
    <tabColor rgb="FF92D050"/>
  </sheetPr>
  <dimension ref="A1:X179"/>
  <sheetViews>
    <sheetView topLeftCell="D25" zoomScale="84" workbookViewId="0">
      <selection activeCell="J44" sqref="J44"/>
    </sheetView>
  </sheetViews>
  <sheetFormatPr baseColWidth="10" defaultRowHeight="14.4" x14ac:dyDescent="0.3"/>
  <cols>
    <col min="1" max="1" width="22.33203125" bestFit="1" customWidth="1"/>
    <col min="2" max="2" width="21.44140625" bestFit="1" customWidth="1"/>
    <col min="3" max="3" width="6" bestFit="1" customWidth="1"/>
    <col min="4" max="4" width="20.21875" style="86" bestFit="1" customWidth="1"/>
    <col min="5" max="6" width="12" bestFit="1" customWidth="1"/>
    <col min="7" max="7" width="20.21875" bestFit="1" customWidth="1"/>
    <col min="8" max="8" width="16.6640625" bestFit="1" customWidth="1"/>
    <col min="9" max="9" width="18.21875" bestFit="1" customWidth="1"/>
    <col min="10" max="10" width="19.6640625" bestFit="1" customWidth="1"/>
    <col min="11" max="11" width="11.6640625" bestFit="1" customWidth="1"/>
    <col min="12" max="12" width="19.6640625" bestFit="1" customWidth="1"/>
    <col min="13" max="13" width="12.44140625" bestFit="1" customWidth="1"/>
    <col min="14" max="14" width="18.21875" bestFit="1" customWidth="1"/>
    <col min="15" max="15" width="28.109375" bestFit="1" customWidth="1"/>
    <col min="16" max="16" width="18.21875" bestFit="1" customWidth="1"/>
    <col min="17" max="18" width="21.6640625" bestFit="1" customWidth="1"/>
    <col min="19" max="19" width="19.6640625" bestFit="1" customWidth="1"/>
    <col min="20" max="20" width="14.109375" bestFit="1" customWidth="1"/>
    <col min="21" max="21" width="19.6640625" bestFit="1" customWidth="1"/>
    <col min="22" max="22" width="12.33203125" bestFit="1" customWidth="1"/>
    <col min="23" max="30" width="12.6640625" bestFit="1" customWidth="1"/>
    <col min="31" max="31" width="12.33203125" bestFit="1" customWidth="1"/>
    <col min="32" max="32" width="11.6640625" bestFit="1" customWidth="1"/>
    <col min="33" max="34" width="12.33203125" bestFit="1" customWidth="1"/>
    <col min="35" max="35" width="14.33203125" bestFit="1" customWidth="1"/>
    <col min="36" max="36" width="16.33203125" bestFit="1" customWidth="1"/>
  </cols>
  <sheetData>
    <row r="1" spans="1:18" x14ac:dyDescent="0.3">
      <c r="A1" s="90" t="s">
        <v>518</v>
      </c>
      <c r="B1" t="s" vm="1">
        <v>988</v>
      </c>
      <c r="N1" s="218" t="s">
        <v>379</v>
      </c>
      <c r="O1" s="201" t="s" vm="3">
        <v>384</v>
      </c>
    </row>
    <row r="2" spans="1:18" x14ac:dyDescent="0.3">
      <c r="D2"/>
      <c r="F2" s="154"/>
      <c r="G2" s="106"/>
      <c r="N2" s="218" t="s">
        <v>50</v>
      </c>
      <c r="O2" s="201" t="s" vm="2">
        <v>385</v>
      </c>
    </row>
    <row r="3" spans="1:18" x14ac:dyDescent="0.3">
      <c r="A3" s="90" t="s">
        <v>987</v>
      </c>
      <c r="B3" s="90" t="s">
        <v>986</v>
      </c>
      <c r="D3"/>
      <c r="H3">
        <v>2023</v>
      </c>
      <c r="I3">
        <v>2024</v>
      </c>
    </row>
    <row r="4" spans="1:18" x14ac:dyDescent="0.3">
      <c r="A4" s="90" t="s">
        <v>534</v>
      </c>
      <c r="B4">
        <v>2023</v>
      </c>
      <c r="C4">
        <v>2024</v>
      </c>
      <c r="D4" t="s">
        <v>535</v>
      </c>
      <c r="G4" t="s">
        <v>268</v>
      </c>
      <c r="H4" s="201">
        <f>GETPIVOTDATA("[Measures].[Suma de Aprobado S/.]",$A$3,"[Tabla1].[Año Proy]","[Tabla1].[Año Proy].&amp;[2023]","[Tabla1].[Fecha aprobación (mes)]","[Tabla1].[Fecha aprobación (mes)].&amp;[Ene]")</f>
        <v>1780</v>
      </c>
      <c r="I4" s="201">
        <f>GETPIVOTDATA("[Measures].[Suma de Aprobado S/.]",$A$3,"[Tabla1].[Año Proy]","[Tabla1].[Año Proy].&amp;[2024]","[Tabla1].[Fecha aprobación (mes)]","[Tabla1].[Fecha aprobación (mes)].&amp;[Ene]")</f>
        <v>650</v>
      </c>
      <c r="N4" s="218" t="s">
        <v>534</v>
      </c>
      <c r="O4" s="201" t="s">
        <v>990</v>
      </c>
    </row>
    <row r="5" spans="1:18" x14ac:dyDescent="0.3">
      <c r="A5" s="91" t="s">
        <v>268</v>
      </c>
      <c r="B5">
        <v>1780</v>
      </c>
      <c r="C5">
        <v>650</v>
      </c>
      <c r="D5">
        <v>2430</v>
      </c>
      <c r="G5" t="s">
        <v>269</v>
      </c>
      <c r="H5" s="201">
        <f>GETPIVOTDATA("[Measures].[Suma de Aprobado S/.]",$A$3,"[Tabla1].[Año Proy]","[Tabla1].[Año Proy].&amp;[2023]","[Tabla1].[Fecha aprobación (mes)]","[Tabla1].[Fecha aprobación (mes)].&amp;[Feb]")</f>
        <v>1200</v>
      </c>
      <c r="I5" s="201">
        <f>0</f>
        <v>0</v>
      </c>
      <c r="N5" s="219" t="s">
        <v>380</v>
      </c>
      <c r="O5" s="201">
        <v>21290</v>
      </c>
    </row>
    <row r="6" spans="1:18" x14ac:dyDescent="0.3">
      <c r="A6" s="91" t="s">
        <v>269</v>
      </c>
      <c r="B6">
        <v>1200</v>
      </c>
      <c r="D6">
        <v>1200</v>
      </c>
      <c r="G6" t="s">
        <v>270</v>
      </c>
      <c r="H6" s="201">
        <f>GETPIVOTDATA("[Measures].[Suma de Aprobado S/.]",$A$3,"[Tabla1].[Año Proy]","[Tabla1].[Año Proy].&amp;[2023]","[Tabla1].[Fecha aprobación (mes)]","[Tabla1].[Fecha aprobación (mes)].&amp;[Mar]")</f>
        <v>72430</v>
      </c>
      <c r="I6" s="201">
        <v>6760</v>
      </c>
      <c r="N6" s="219" t="s">
        <v>471</v>
      </c>
      <c r="O6" s="201">
        <v>250</v>
      </c>
    </row>
    <row r="7" spans="1:18" x14ac:dyDescent="0.3">
      <c r="A7" s="91" t="s">
        <v>270</v>
      </c>
      <c r="B7">
        <v>72430</v>
      </c>
      <c r="C7">
        <v>6760</v>
      </c>
      <c r="D7">
        <v>79190</v>
      </c>
      <c r="G7" t="s">
        <v>271</v>
      </c>
      <c r="H7" s="201">
        <f>GETPIVOTDATA("[Measures].[Suma de Aprobado S/.]",$A$3,"[Tabla1].[Año Proy]","[Tabla1].[Año Proy].&amp;[2023]","[Tabla1].[Fecha aprobación (mes)]","[Tabla1].[Fecha aprobación (mes)].&amp;[Abr]")</f>
        <v>2075</v>
      </c>
      <c r="I7" s="201">
        <v>0</v>
      </c>
      <c r="N7" s="219" t="s">
        <v>395</v>
      </c>
      <c r="O7" s="201">
        <v>5565</v>
      </c>
    </row>
    <row r="8" spans="1:18" x14ac:dyDescent="0.3">
      <c r="A8" s="91" t="s">
        <v>271</v>
      </c>
      <c r="B8">
        <v>2075</v>
      </c>
      <c r="D8">
        <v>2075</v>
      </c>
      <c r="G8" t="s">
        <v>272</v>
      </c>
      <c r="H8" s="201">
        <f>GETPIVOTDATA("[Measures].[Suma de Aprobado S/.]",$A$3,"[Tabla1].[Año Proy]","[Tabla1].[Año Proy].&amp;[2023]","[Tabla1].[Fecha aprobación (mes)]","[Tabla1].[Fecha aprobación (mes)].&amp;[May]")</f>
        <v>17280</v>
      </c>
      <c r="I8" s="201">
        <v>0</v>
      </c>
      <c r="N8" s="219" t="s">
        <v>732</v>
      </c>
      <c r="O8" s="201">
        <v>200</v>
      </c>
      <c r="P8" s="201"/>
    </row>
    <row r="9" spans="1:18" x14ac:dyDescent="0.3">
      <c r="A9" s="91" t="s">
        <v>272</v>
      </c>
      <c r="B9">
        <v>17280</v>
      </c>
      <c r="D9">
        <v>17280</v>
      </c>
      <c r="G9" t="s">
        <v>273</v>
      </c>
      <c r="H9" s="201">
        <f>0</f>
        <v>0</v>
      </c>
      <c r="I9" s="201">
        <v>20250</v>
      </c>
      <c r="N9" s="219" t="s">
        <v>621</v>
      </c>
      <c r="O9" s="201">
        <v>700</v>
      </c>
      <c r="P9" s="201"/>
    </row>
    <row r="10" spans="1:18" x14ac:dyDescent="0.3">
      <c r="A10" s="91" t="s">
        <v>273</v>
      </c>
      <c r="C10">
        <v>20250</v>
      </c>
      <c r="D10">
        <v>20250</v>
      </c>
      <c r="G10" t="s">
        <v>274</v>
      </c>
      <c r="H10" s="201">
        <f>0</f>
        <v>0</v>
      </c>
      <c r="I10" s="201">
        <v>4340</v>
      </c>
      <c r="N10" s="219" t="s">
        <v>367</v>
      </c>
      <c r="O10" s="201">
        <v>242000</v>
      </c>
      <c r="P10" s="201"/>
    </row>
    <row r="11" spans="1:18" x14ac:dyDescent="0.3">
      <c r="A11" s="91" t="s">
        <v>274</v>
      </c>
      <c r="C11">
        <v>4340</v>
      </c>
      <c r="D11">
        <v>4340</v>
      </c>
      <c r="G11" t="s">
        <v>275</v>
      </c>
      <c r="H11" s="201">
        <f>GETPIVOTDATA("[Measures].[Suma de Aprobado S/.]",$A$3,"[Tabla1].[Año Proy]","[Tabla1].[Año Proy].&amp;[2023]","[Tabla1].[Fecha aprobación (mes)]","[Tabla1].[Fecha aprobación (mes)].&amp;[Ago]")</f>
        <v>32840</v>
      </c>
      <c r="I11" s="201"/>
      <c r="N11" s="219" t="s">
        <v>535</v>
      </c>
      <c r="O11" s="201">
        <v>270005</v>
      </c>
      <c r="P11" s="201"/>
    </row>
    <row r="12" spans="1:18" x14ac:dyDescent="0.3">
      <c r="A12" s="91" t="s">
        <v>275</v>
      </c>
      <c r="B12">
        <v>32840</v>
      </c>
      <c r="D12">
        <v>32840</v>
      </c>
      <c r="G12" t="s">
        <v>665</v>
      </c>
      <c r="H12" s="201">
        <f>0</f>
        <v>0</v>
      </c>
      <c r="I12" s="201"/>
      <c r="N12" s="201"/>
      <c r="O12" s="201"/>
      <c r="P12" s="201"/>
    </row>
    <row r="13" spans="1:18" x14ac:dyDescent="0.3">
      <c r="A13" s="91" t="s">
        <v>277</v>
      </c>
      <c r="B13">
        <v>40200</v>
      </c>
      <c r="D13">
        <v>40200</v>
      </c>
      <c r="G13" t="s">
        <v>277</v>
      </c>
      <c r="H13" s="201">
        <f>GETPIVOTDATA("[Measures].[Suma de Aprobado S/.]",$A$3,"[Tabla1].[Año Proy]","[Tabla1].[Año Proy].&amp;[2023]","[Tabla1].[Fecha aprobación (mes)]","[Tabla1].[Fecha aprobación (mes)].&amp;[Oct]")</f>
        <v>40200</v>
      </c>
      <c r="I13" s="201"/>
      <c r="N13" s="201"/>
      <c r="O13" s="201"/>
      <c r="P13" s="201"/>
    </row>
    <row r="14" spans="1:18" x14ac:dyDescent="0.3">
      <c r="A14" s="91" t="s">
        <v>278</v>
      </c>
      <c r="B14">
        <v>51940</v>
      </c>
      <c r="D14">
        <v>51940</v>
      </c>
      <c r="G14" t="s">
        <v>278</v>
      </c>
      <c r="H14" s="201">
        <f>GETPIVOTDATA("[Measures].[Suma de Aprobado S/.]",$A$3,"[Tabla1].[Año Proy]","[Tabla1].[Año Proy].&amp;[2023]","[Tabla1].[Fecha aprobación (mes)]","[Tabla1].[Fecha aprobación (mes)].&amp;[Nov]")</f>
        <v>51940</v>
      </c>
      <c r="I14" s="201"/>
      <c r="N14" s="201"/>
      <c r="O14" s="201"/>
      <c r="P14" s="201"/>
    </row>
    <row r="15" spans="1:18" x14ac:dyDescent="0.3">
      <c r="A15" s="91" t="s">
        <v>267</v>
      </c>
      <c r="B15">
        <v>47500</v>
      </c>
      <c r="D15">
        <v>47500</v>
      </c>
      <c r="G15" t="s">
        <v>267</v>
      </c>
      <c r="H15" s="201">
        <f>GETPIVOTDATA("[Measures].[Suma de Aprobado S/.]",$A$3,"[Tabla1].[Año Proy]","[Tabla1].[Año Proy].&amp;[2023]","[Tabla1].[Fecha aprobación (mes)]","[Tabla1].[Fecha aprobación (mes)].&amp;[Dic]")</f>
        <v>47500</v>
      </c>
      <c r="I15" s="201"/>
      <c r="N15" s="201"/>
      <c r="O15" s="201"/>
      <c r="P15" s="201"/>
    </row>
    <row r="16" spans="1:18" x14ac:dyDescent="0.3">
      <c r="A16" s="91" t="s">
        <v>535</v>
      </c>
      <c r="B16">
        <v>267245</v>
      </c>
      <c r="C16">
        <v>32000</v>
      </c>
      <c r="D16">
        <v>299245</v>
      </c>
      <c r="H16">
        <f>SUM(H4:H15)</f>
        <v>267245</v>
      </c>
      <c r="I16">
        <f>SUM(I4:I15)</f>
        <v>32000</v>
      </c>
      <c r="P16" s="201"/>
      <c r="Q16" s="201"/>
      <c r="R16" s="201"/>
    </row>
    <row r="17" spans="1:24" x14ac:dyDescent="0.3">
      <c r="D17"/>
      <c r="L17" s="90" t="s">
        <v>518</v>
      </c>
      <c r="M17" t="s" vm="1">
        <v>988</v>
      </c>
      <c r="P17" s="218" t="s">
        <v>534</v>
      </c>
      <c r="Q17" s="201" t="s">
        <v>987</v>
      </c>
      <c r="R17" s="201" t="s">
        <v>991</v>
      </c>
      <c r="T17" s="90" t="s">
        <v>518</v>
      </c>
      <c r="U17" t="s" vm="5">
        <v>998</v>
      </c>
    </row>
    <row r="18" spans="1:24" x14ac:dyDescent="0.3">
      <c r="J18" s="90" t="s">
        <v>518</v>
      </c>
      <c r="K18" t="s" vm="1">
        <v>988</v>
      </c>
      <c r="L18" s="90" t="s">
        <v>517</v>
      </c>
      <c r="M18" t="s" vm="6">
        <v>316</v>
      </c>
      <c r="P18" s="219" t="s">
        <v>110</v>
      </c>
      <c r="Q18" s="201">
        <v>36055</v>
      </c>
      <c r="R18" s="201">
        <v>21270</v>
      </c>
    </row>
    <row r="19" spans="1:24" x14ac:dyDescent="0.3">
      <c r="P19" s="219" t="s">
        <v>15</v>
      </c>
      <c r="Q19" s="201">
        <v>59280</v>
      </c>
      <c r="R19" s="201">
        <v>29990</v>
      </c>
      <c r="T19" s="90" t="s">
        <v>534</v>
      </c>
      <c r="U19" t="s">
        <v>992</v>
      </c>
      <c r="W19" t="s">
        <v>1002</v>
      </c>
      <c r="X19" s="226">
        <f>GETPIVOTDATA("[Measures].[Recuento de Proyecto]",$T$19,"[Tabla1].[Estado proyecto]","[Tabla1].[Estado proyecto].&amp;[En proceso]")+GETPIVOTDATA("[Measures].[Recuento de Proyecto]",$T$19,"[Tabla1].[Estado proyecto]","[Tabla1].[Estado proyecto].&amp;[Finalizado]")</f>
        <v>0.61538461538461542</v>
      </c>
    </row>
    <row r="20" spans="1:24" x14ac:dyDescent="0.3">
      <c r="A20" t="s">
        <v>989</v>
      </c>
      <c r="D20" t="s">
        <v>987</v>
      </c>
      <c r="G20" t="s">
        <v>991</v>
      </c>
      <c r="J20" t="s">
        <v>992</v>
      </c>
      <c r="L20" t="s">
        <v>992</v>
      </c>
      <c r="P20" s="219" t="s">
        <v>21</v>
      </c>
      <c r="Q20" s="201">
        <v>97880</v>
      </c>
      <c r="R20" s="201">
        <v>84305</v>
      </c>
      <c r="T20" s="91" t="s">
        <v>316</v>
      </c>
      <c r="U20" s="94">
        <v>0.30769230769230771</v>
      </c>
      <c r="W20" t="s">
        <v>68</v>
      </c>
      <c r="X20" s="226">
        <f>GETPIVOTDATA("[Measures].[Recuento de Proyecto]",$T$19,"[Tabla1].[Estado proyecto]","[Tabla1].[Estado proyecto].&amp;[Sin iniciar]")</f>
        <v>0.38461538461538464</v>
      </c>
    </row>
    <row r="21" spans="1:24" x14ac:dyDescent="0.3">
      <c r="A21">
        <v>507300</v>
      </c>
      <c r="B21" s="201">
        <f>GETPIVOTDATA("[Measures].[Suma de Presupuesto S/.]",$A$20)</f>
        <v>507300</v>
      </c>
      <c r="D21">
        <v>299245</v>
      </c>
      <c r="E21" s="201">
        <f>GETPIVOTDATA("[Measures].[Suma de Aprobado S/.]",$D$20)</f>
        <v>299245</v>
      </c>
      <c r="G21">
        <v>203180</v>
      </c>
      <c r="H21" s="201">
        <f>GETPIVOTDATA("[Measures].[Suma de Ejecutado S/.]",$G$20)</f>
        <v>203180</v>
      </c>
      <c r="J21">
        <v>24</v>
      </c>
      <c r="K21">
        <f>GETPIVOTDATA("[Measures].[Recuento de Proyecto]",$J$20)</f>
        <v>24</v>
      </c>
      <c r="L21">
        <v>12</v>
      </c>
      <c r="M21">
        <f>GETPIVOTDATA("[Measures].[Recuento de Proyecto]",$L$20)</f>
        <v>12</v>
      </c>
      <c r="N21" s="201">
        <f>GETPIVOTDATA("[Measures].[Suma de Aprobado S/.]",$D$20)-GETPIVOTDATA("[Measures].[Suma de Ejecutado S/.]",$G$20)</f>
        <v>96065</v>
      </c>
      <c r="P21" s="219" t="s">
        <v>243</v>
      </c>
      <c r="Q21" s="201">
        <v>60580</v>
      </c>
      <c r="R21" s="201">
        <v>34775</v>
      </c>
      <c r="T21" s="91" t="s">
        <v>314</v>
      </c>
      <c r="U21" s="94">
        <v>0.30769230769230771</v>
      </c>
    </row>
    <row r="22" spans="1:24" x14ac:dyDescent="0.3">
      <c r="P22" s="219" t="s">
        <v>364</v>
      </c>
      <c r="Q22" s="201">
        <v>45450</v>
      </c>
      <c r="R22" s="201">
        <v>32840</v>
      </c>
      <c r="T22" s="91" t="s">
        <v>68</v>
      </c>
      <c r="U22" s="94">
        <v>0.38461538461538464</v>
      </c>
    </row>
    <row r="23" spans="1:24" x14ac:dyDescent="0.3">
      <c r="P23" s="219" t="s">
        <v>535</v>
      </c>
      <c r="Q23" s="201">
        <v>299245</v>
      </c>
      <c r="R23" s="201">
        <v>203180</v>
      </c>
      <c r="T23" s="91" t="s">
        <v>535</v>
      </c>
      <c r="U23" s="94">
        <v>1</v>
      </c>
    </row>
    <row r="24" spans="1:24" x14ac:dyDescent="0.3">
      <c r="A24" s="90" t="s">
        <v>50</v>
      </c>
      <c r="B24" t="s" vm="2">
        <v>385</v>
      </c>
      <c r="D24"/>
    </row>
    <row r="25" spans="1:24" x14ac:dyDescent="0.3">
      <c r="A25" s="90" t="s">
        <v>379</v>
      </c>
      <c r="B25" t="s" vm="3">
        <v>384</v>
      </c>
      <c r="D25"/>
    </row>
    <row r="26" spans="1:24" x14ac:dyDescent="0.3">
      <c r="D26"/>
      <c r="I26">
        <v>2023</v>
      </c>
      <c r="J26">
        <v>2024</v>
      </c>
    </row>
    <row r="27" spans="1:24" x14ac:dyDescent="0.3">
      <c r="A27" s="90" t="s">
        <v>990</v>
      </c>
      <c r="B27" s="90" t="s">
        <v>986</v>
      </c>
      <c r="D27"/>
      <c r="H27" s="154">
        <f>A37</f>
        <v>44945</v>
      </c>
      <c r="I27" s="201">
        <f>GETPIVOTDATA("[Measures].[Suma de Cuota]",$A$27,"[Tabla2].[Año Proy]","[Tabla2].[Año Proy].&amp;[2023]","[Tabla2].[Fecha]","[Tabla2].[Fecha].&amp;[2023-01-19T00:00:00]")</f>
        <v>1780</v>
      </c>
      <c r="J27" s="201"/>
      <c r="K27" s="201"/>
    </row>
    <row r="28" spans="1:24" x14ac:dyDescent="0.3">
      <c r="A28" s="90" t="s">
        <v>534</v>
      </c>
      <c r="B28">
        <v>2022</v>
      </c>
      <c r="C28">
        <v>2023</v>
      </c>
      <c r="D28">
        <v>2024</v>
      </c>
      <c r="E28" t="s">
        <v>535</v>
      </c>
      <c r="H28" s="154">
        <f>A38</f>
        <v>44970</v>
      </c>
      <c r="I28" s="201">
        <f>GETPIVOTDATA("[Measures].[Suma de Cuota]",$A$27,"[Tabla2].[Año Proy]","[Tabla2].[Año Proy].&amp;[2023]","[Tabla2].[Fecha]","[Tabla2].[Fecha].&amp;[2023-02-13T00:00:00]")+GETPIVOTDATA("[Measures].[Suma de Cuota]",$A$27,"[Tabla2].[Año Proy]","[Tabla2].[Año Proy].&amp;[2023]","[Tabla2].[Fecha]","[Tabla2].[Fecha].&amp;[2023-02-17T00:00:00]")</f>
        <v>1200</v>
      </c>
      <c r="J28" s="201"/>
      <c r="K28" s="201"/>
      <c r="T28" t="s">
        <v>999</v>
      </c>
    </row>
    <row r="29" spans="1:24" x14ac:dyDescent="0.3">
      <c r="A29" s="108">
        <v>44680</v>
      </c>
      <c r="B29">
        <v>7490</v>
      </c>
      <c r="D29"/>
      <c r="E29">
        <v>7490</v>
      </c>
      <c r="H29" s="154">
        <f>A40</f>
        <v>45005</v>
      </c>
      <c r="I29" s="201">
        <f>GETPIVOTDATA("[Measures].[Suma de Cuota]",$A$27,"[Tabla2].[Año Proy]","[Tabla2].[Año Proy].&amp;[2023]","[Tabla2].[Fecha]","[Tabla2].[Fecha].&amp;[2023-03-20T00:00:00]")</f>
        <v>0</v>
      </c>
      <c r="J29" s="201"/>
      <c r="K29" s="201"/>
      <c r="T29" s="235">
        <v>0.79396629712992439</v>
      </c>
      <c r="U29" t="s">
        <v>1000</v>
      </c>
      <c r="V29" s="226">
        <f>GETPIVOTDATA("[Measures].[Suma de % Ejec]",$T$28)</f>
        <v>0.79396629712992439</v>
      </c>
    </row>
    <row r="30" spans="1:24" x14ac:dyDescent="0.3">
      <c r="A30" s="108">
        <v>44778</v>
      </c>
      <c r="B30">
        <v>5243</v>
      </c>
      <c r="D30"/>
      <c r="E30">
        <v>5243</v>
      </c>
      <c r="H30" s="154">
        <f>A41</f>
        <v>45035</v>
      </c>
      <c r="I30" s="201">
        <f>GETPIVOTDATA("[Measures].[Suma de Cuota]",$A$27,"[Tabla2].[Año Proy]","[Tabla2].[Año Proy].&amp;[2023]","[Tabla2].[Fecha]","[Tabla2].[Fecha].&amp;[2023-04-19T00:00:00]")</f>
        <v>11700</v>
      </c>
      <c r="J30" s="201"/>
      <c r="K30" s="201"/>
      <c r="U30" t="s">
        <v>1001</v>
      </c>
      <c r="V30" s="235">
        <f>V31-V29</f>
        <v>0.20603370287007561</v>
      </c>
    </row>
    <row r="31" spans="1:24" x14ac:dyDescent="0.3">
      <c r="A31" s="108">
        <v>44852</v>
      </c>
      <c r="B31">
        <v>4732</v>
      </c>
      <c r="D31"/>
      <c r="E31">
        <v>4732</v>
      </c>
      <c r="H31" s="154">
        <f>A42</f>
        <v>45061</v>
      </c>
      <c r="I31" s="201">
        <f>GETPIVOTDATA("[Measures].[Suma de Cuota]",$A$27,"[Tabla2].[Año Proy]","[Tabla2].[Año Proy].&amp;[2023]","[Tabla2].[Fecha]","[Tabla2].[Fecha].&amp;[2023-05-15T00:00:00]")+GETPIVOTDATA("[Measures].[Suma de Cuota]",$A$27,"[Tabla2].[Año Proy]","[Tabla2].[Año Proy].&amp;[2023]","[Tabla2].[Fecha]","[Tabla2].[Fecha].&amp;[2023-05-18T00:00:00]")</f>
        <v>5730</v>
      </c>
      <c r="J31" s="201"/>
      <c r="K31" s="201"/>
      <c r="V31">
        <v>1</v>
      </c>
    </row>
    <row r="32" spans="1:24" x14ac:dyDescent="0.3">
      <c r="A32" s="108">
        <v>44879</v>
      </c>
      <c r="B32">
        <v>4515</v>
      </c>
      <c r="D32"/>
      <c r="E32">
        <v>4515</v>
      </c>
      <c r="H32" s="154">
        <f>A44</f>
        <v>45096</v>
      </c>
      <c r="I32" s="201">
        <f>GETPIVOTDATA("[Measures].[Suma de Cuota]",$A$27,"[Tabla2].[Año Proy]","[Tabla2].[Año Proy].&amp;[2023]","[Tabla2].[Fecha]","[Tabla2].[Fecha].&amp;[2023-06-19T00:00:00]")+GETPIVOTDATA("[Measures].[Suma de Cuota]",$A$27,"[Tabla2].[Año Proy]","[Tabla2].[Año Proy].&amp;[2023]","[Tabla2].[Fecha]","[Tabla2].[Fecha].&amp;[2023-06-21T00:00:00]")</f>
        <v>10990</v>
      </c>
      <c r="J32" s="201"/>
      <c r="K32" s="201"/>
    </row>
    <row r="33" spans="1:20" x14ac:dyDescent="0.3">
      <c r="A33" s="108">
        <v>44886</v>
      </c>
      <c r="B33">
        <v>2247</v>
      </c>
      <c r="D33"/>
      <c r="E33">
        <v>2247</v>
      </c>
      <c r="H33" s="154">
        <f t="shared" ref="H33:H39" si="0">A46</f>
        <v>45128</v>
      </c>
      <c r="I33" s="201">
        <f>GETPIVOTDATA("[Measures].[Suma de Cuota]",$A$27,"[Tabla2].[Año Proy]","[Tabla2].[Año Proy].&amp;[2023]","[Tabla2].[Fecha]","[Tabla2].[Fecha].&amp;[2023-07-21T00:00:00]")</f>
        <v>9745</v>
      </c>
      <c r="J33" s="201"/>
      <c r="K33" s="201"/>
    </row>
    <row r="34" spans="1:20" x14ac:dyDescent="0.3">
      <c r="A34" s="108">
        <v>44887</v>
      </c>
      <c r="B34">
        <v>9404</v>
      </c>
      <c r="D34"/>
      <c r="E34">
        <v>9404</v>
      </c>
      <c r="H34" s="154">
        <f t="shared" si="0"/>
        <v>45155</v>
      </c>
      <c r="I34" s="201">
        <f>GETPIVOTDATA("[Measures].[Suma de Cuota]",$A$27,"[Tabla2].[Año Proy]","[Tabla2].[Año Proy].&amp;[2023]","[Tabla2].[Fecha]","[Tabla2].[Fecha].&amp;[2023-08-17T00:00:00]")</f>
        <v>5460</v>
      </c>
      <c r="J34" s="201"/>
      <c r="K34" s="201"/>
    </row>
    <row r="35" spans="1:20" x14ac:dyDescent="0.3">
      <c r="A35" s="108">
        <v>44910</v>
      </c>
      <c r="B35">
        <v>10090.67</v>
      </c>
      <c r="D35"/>
      <c r="E35">
        <v>10090.67</v>
      </c>
      <c r="H35" s="154">
        <f t="shared" si="0"/>
        <v>45170</v>
      </c>
      <c r="I35" s="201">
        <f>GETPIVOTDATA("[Measures].[Suma de Cuota]",$A$27,"[Tabla2].[Año Proy]","[Tabla2].[Año Proy].&amp;[2023]","[Tabla2].[Fecha]","[Tabla2].[Fecha].&amp;[2023-09-01T00:00:00]")</f>
        <v>20195</v>
      </c>
      <c r="J35" s="201"/>
      <c r="K35" s="201"/>
    </row>
    <row r="36" spans="1:20" x14ac:dyDescent="0.3">
      <c r="A36" s="108">
        <v>44911</v>
      </c>
      <c r="B36">
        <v>840</v>
      </c>
      <c r="D36"/>
      <c r="E36">
        <v>840</v>
      </c>
      <c r="H36" s="154">
        <f t="shared" si="0"/>
        <v>45200</v>
      </c>
      <c r="I36" s="201">
        <f>GETPIVOTDATA("[Measures].[Suma de Cuota]",$A$27,"[Tabla2].[Año Proy]","[Tabla2].[Año Proy].&amp;[2023]","[Tabla2].[Fecha]","[Tabla2].[Fecha].&amp;[2023-10-01T00:00:00]")</f>
        <v>21045</v>
      </c>
      <c r="J36" s="201"/>
      <c r="K36" s="201"/>
    </row>
    <row r="37" spans="1:20" x14ac:dyDescent="0.3">
      <c r="A37" s="108">
        <v>44945</v>
      </c>
      <c r="B37">
        <v>12510</v>
      </c>
      <c r="C37">
        <v>1780</v>
      </c>
      <c r="D37"/>
      <c r="E37">
        <v>14290</v>
      </c>
      <c r="H37" s="154">
        <f t="shared" si="0"/>
        <v>45231</v>
      </c>
      <c r="I37" s="201">
        <f>GETPIVOTDATA("[Measures].[Suma de Cuota]",$A$27,"[Tabla2].[Año Proy]","[Tabla2].[Año Proy].&amp;[2023]","[Tabla2].[Fecha]","[Tabla2].[Fecha].&amp;[2023-11-01T00:00:00]")</f>
        <v>19785</v>
      </c>
      <c r="J37" s="201"/>
      <c r="K37" s="201"/>
    </row>
    <row r="38" spans="1:20" x14ac:dyDescent="0.3">
      <c r="A38" s="108">
        <v>44970</v>
      </c>
      <c r="B38">
        <v>8820</v>
      </c>
      <c r="D38"/>
      <c r="E38">
        <v>8820</v>
      </c>
      <c r="H38" s="154">
        <f t="shared" si="0"/>
        <v>45261</v>
      </c>
      <c r="I38" s="201">
        <f>GETPIVOTDATA("[Measures].[Suma de Cuota]",$A$27,"[Tabla2].[Año Proy]","[Tabla2].[Año Proy].&amp;[2023]","[Tabla2].[Fecha]","[Tabla2].[Fecha].&amp;[2023-12-01T00:00:00]")</f>
        <v>49884</v>
      </c>
      <c r="J38" s="201"/>
      <c r="K38" s="201"/>
    </row>
    <row r="39" spans="1:20" x14ac:dyDescent="0.3">
      <c r="A39" s="108">
        <v>44974</v>
      </c>
      <c r="C39">
        <v>1200</v>
      </c>
      <c r="D39"/>
      <c r="E39">
        <v>1200</v>
      </c>
      <c r="H39" s="154">
        <f t="shared" si="0"/>
        <v>45292</v>
      </c>
      <c r="I39" s="201">
        <f>GETPIVOTDATA("[Measures].[Suma de Cuota]",$A$27,"[Tabla2].[Año Proy]","[Tabla2].[Año Proy].&amp;[2023]","[Tabla2].[Fecha]","[Tabla2].[Fecha].&amp;[2024-01-01T00:00:00]")</f>
        <v>4423</v>
      </c>
      <c r="J39" s="201">
        <v>0</v>
      </c>
    </row>
    <row r="40" spans="1:20" x14ac:dyDescent="0.3">
      <c r="A40" s="108">
        <v>45005</v>
      </c>
      <c r="B40">
        <v>240</v>
      </c>
      <c r="D40"/>
      <c r="E40">
        <v>240</v>
      </c>
      <c r="H40" s="154">
        <v>45323</v>
      </c>
      <c r="I40" s="201">
        <f>GETPIVOTDATA("[Measures].[Suma de Cuota]",$A$27,"[Tabla2].[Año Proy]","[Tabla2].[Año Proy].&amp;[2023]","[Tabla2].[Fecha]","[Tabla2].[Fecha].&amp;[2024-02-01T00:00:00]")</f>
        <v>4287.5</v>
      </c>
      <c r="J40" s="201">
        <v>0</v>
      </c>
    </row>
    <row r="41" spans="1:20" x14ac:dyDescent="0.3">
      <c r="A41" s="108">
        <v>45035</v>
      </c>
      <c r="C41">
        <v>11700</v>
      </c>
      <c r="D41"/>
      <c r="E41">
        <v>11700</v>
      </c>
      <c r="H41" s="154">
        <v>45352</v>
      </c>
      <c r="I41" s="201">
        <f>GETPIVOTDATA("[Measures].[Suma de Cuota]",$A$27,"[Tabla2].[Año Proy]","[Tabla2].[Año Proy].&amp;[2023]","[Tabla2].[Fecha]","[Tabla2].[Fecha].&amp;[2024-03-01T00:00:00]")</f>
        <v>2572.5</v>
      </c>
      <c r="J41" s="201">
        <f>GETPIVOTDATA("[Measures].[Suma de Cuota]",$A$27,"[Tabla2].[Año Proy]","[Tabla2].[Año Proy].&amp;[2024]","[Tabla2].[Fecha]","[Tabla2].[Fecha].&amp;[2024-03-01T00:00:00]")</f>
        <v>650</v>
      </c>
    </row>
    <row r="42" spans="1:20" x14ac:dyDescent="0.3">
      <c r="A42" s="108">
        <v>45061</v>
      </c>
      <c r="C42">
        <v>250</v>
      </c>
      <c r="D42"/>
      <c r="E42">
        <v>250</v>
      </c>
      <c r="H42" s="154">
        <v>45383</v>
      </c>
      <c r="I42" s="233">
        <f>GETPIVOTDATA("[Measures].[Suma de Cuota]",$A$27,"[Tabla2].[Año Proy]","[Tabla2].[Año Proy].&amp;[2023]","[Tabla2].[Fecha]","[Tabla2].[Fecha].&amp;[2024-04-01T00:00:00]")</f>
        <v>8070</v>
      </c>
      <c r="J42" s="234">
        <f>GETPIVOTDATA("[Measures].[Suma de Cuota]",$A$27,"[Tabla2].[Año Proy]","[Tabla2].[Año Proy].&amp;[2024]","[Tabla2].[Fecha]","[Tabla2].[Fecha].&amp;[2024-04-01T00:00:00]")</f>
        <v>3380</v>
      </c>
    </row>
    <row r="43" spans="1:20" x14ac:dyDescent="0.3">
      <c r="A43" s="108">
        <v>45064</v>
      </c>
      <c r="B43">
        <v>3103.3333333333335</v>
      </c>
      <c r="C43">
        <v>5480</v>
      </c>
      <c r="D43"/>
      <c r="E43">
        <v>8583.3333333333339</v>
      </c>
      <c r="H43" s="154">
        <v>45413</v>
      </c>
      <c r="I43" s="201">
        <f>GETPIVOTDATA("[Measures].[Suma de Cuota]",$A$27,"[Tabla2].[Año Proy]","[Tabla2].[Año Proy].&amp;[2023]","[Tabla2].[Fecha]","[Tabla2].[Fecha].&amp;[2024-05-01T00:00:00]")</f>
        <v>5873</v>
      </c>
      <c r="J43" s="201">
        <v>0</v>
      </c>
    </row>
    <row r="44" spans="1:20" x14ac:dyDescent="0.3">
      <c r="A44" s="108">
        <v>45096</v>
      </c>
      <c r="B44">
        <v>6206.666666666667</v>
      </c>
      <c r="C44">
        <v>3400</v>
      </c>
      <c r="D44"/>
      <c r="E44">
        <v>9606.6666666666679</v>
      </c>
      <c r="H44" s="154">
        <v>45444</v>
      </c>
      <c r="I44" s="201"/>
    </row>
    <row r="45" spans="1:20" x14ac:dyDescent="0.3">
      <c r="A45" s="108">
        <v>45098</v>
      </c>
      <c r="C45">
        <v>7590</v>
      </c>
      <c r="D45"/>
      <c r="E45">
        <v>7590</v>
      </c>
      <c r="P45" s="201"/>
      <c r="R45" s="202"/>
      <c r="T45" s="200"/>
    </row>
    <row r="46" spans="1:20" x14ac:dyDescent="0.3">
      <c r="A46" s="108">
        <v>45128</v>
      </c>
      <c r="C46">
        <v>9745</v>
      </c>
      <c r="D46"/>
      <c r="E46">
        <v>9745</v>
      </c>
    </row>
    <row r="47" spans="1:20" x14ac:dyDescent="0.3">
      <c r="A47" s="108">
        <v>45155</v>
      </c>
      <c r="C47">
        <v>5460</v>
      </c>
      <c r="D47"/>
      <c r="E47">
        <v>5460</v>
      </c>
    </row>
    <row r="48" spans="1:20" x14ac:dyDescent="0.3">
      <c r="A48" s="108">
        <v>45170</v>
      </c>
      <c r="B48">
        <v>2333.33</v>
      </c>
      <c r="C48">
        <v>20195</v>
      </c>
      <c r="D48"/>
      <c r="E48">
        <v>22528.33</v>
      </c>
    </row>
    <row r="49" spans="1:12" x14ac:dyDescent="0.3">
      <c r="A49" s="108">
        <v>45200</v>
      </c>
      <c r="C49">
        <v>21045</v>
      </c>
      <c r="D49"/>
      <c r="E49">
        <v>21045</v>
      </c>
    </row>
    <row r="50" spans="1:12" x14ac:dyDescent="0.3">
      <c r="A50" s="108">
        <v>45231</v>
      </c>
      <c r="C50">
        <v>19785</v>
      </c>
      <c r="D50"/>
      <c r="E50">
        <v>19785</v>
      </c>
    </row>
    <row r="51" spans="1:12" x14ac:dyDescent="0.3">
      <c r="A51" s="108">
        <v>45261</v>
      </c>
      <c r="C51">
        <v>49884</v>
      </c>
      <c r="D51"/>
      <c r="E51">
        <v>49884</v>
      </c>
    </row>
    <row r="52" spans="1:12" x14ac:dyDescent="0.3">
      <c r="A52" s="108">
        <v>45292</v>
      </c>
      <c r="C52">
        <v>4423</v>
      </c>
      <c r="D52"/>
      <c r="E52">
        <v>4423</v>
      </c>
    </row>
    <row r="53" spans="1:12" x14ac:dyDescent="0.3">
      <c r="A53" s="108">
        <v>45383</v>
      </c>
      <c r="C53">
        <v>8070</v>
      </c>
      <c r="D53">
        <v>3380</v>
      </c>
      <c r="E53">
        <v>11450</v>
      </c>
    </row>
    <row r="54" spans="1:12" x14ac:dyDescent="0.3">
      <c r="A54" s="108">
        <v>45413</v>
      </c>
      <c r="C54">
        <v>5873</v>
      </c>
      <c r="D54"/>
      <c r="E54">
        <v>5873</v>
      </c>
    </row>
    <row r="55" spans="1:12" x14ac:dyDescent="0.3">
      <c r="A55" s="108">
        <v>45323</v>
      </c>
      <c r="C55">
        <v>4287.5</v>
      </c>
      <c r="D55"/>
      <c r="E55">
        <v>4287.5</v>
      </c>
    </row>
    <row r="56" spans="1:12" x14ac:dyDescent="0.3">
      <c r="A56" s="108">
        <v>45352</v>
      </c>
      <c r="C56">
        <v>2572.5</v>
      </c>
      <c r="D56">
        <v>650</v>
      </c>
      <c r="E56">
        <v>3222.5</v>
      </c>
    </row>
    <row r="57" spans="1:12" x14ac:dyDescent="0.3">
      <c r="A57" s="108">
        <v>45444</v>
      </c>
      <c r="C57">
        <v>5460</v>
      </c>
      <c r="D57"/>
      <c r="E57">
        <v>5460</v>
      </c>
    </row>
    <row r="58" spans="1:12" x14ac:dyDescent="0.3">
      <c r="A58" s="91" t="s">
        <v>535</v>
      </c>
      <c r="B58">
        <v>77774.999999999985</v>
      </c>
      <c r="C58">
        <v>188200</v>
      </c>
      <c r="D58">
        <v>4030</v>
      </c>
      <c r="E58">
        <v>270005</v>
      </c>
    </row>
    <row r="59" spans="1:12" x14ac:dyDescent="0.3">
      <c r="D59"/>
      <c r="F59" s="155"/>
    </row>
    <row r="60" spans="1:12" x14ac:dyDescent="0.3">
      <c r="D60"/>
      <c r="F60" s="155"/>
    </row>
    <row r="61" spans="1:12" x14ac:dyDescent="0.3">
      <c r="D61"/>
      <c r="F61" s="155"/>
    </row>
    <row r="62" spans="1:12" x14ac:dyDescent="0.3">
      <c r="D62"/>
      <c r="F62" s="155"/>
      <c r="H62" s="154"/>
      <c r="I62" s="222" t="s">
        <v>379</v>
      </c>
      <c r="J62" s="223" t="s" vm="3">
        <v>384</v>
      </c>
      <c r="K62" s="223"/>
      <c r="L62" s="223"/>
    </row>
    <row r="63" spans="1:12" x14ac:dyDescent="0.3">
      <c r="D63"/>
      <c r="F63" s="155"/>
      <c r="H63" s="154"/>
      <c r="I63" s="222" t="s">
        <v>50</v>
      </c>
      <c r="J63" s="223" t="s" vm="4">
        <v>993</v>
      </c>
      <c r="K63" s="223"/>
      <c r="L63" s="223"/>
    </row>
    <row r="64" spans="1:12" x14ac:dyDescent="0.3">
      <c r="D64"/>
      <c r="F64" s="155"/>
      <c r="H64" s="154"/>
      <c r="I64" s="223"/>
      <c r="J64" s="223"/>
      <c r="K64" s="223"/>
      <c r="L64" s="224"/>
    </row>
    <row r="65" spans="4:12" x14ac:dyDescent="0.3">
      <c r="D65"/>
      <c r="F65" s="155"/>
      <c r="H65" s="154"/>
      <c r="I65" s="222" t="s">
        <v>1037</v>
      </c>
      <c r="J65" s="222" t="s">
        <v>986</v>
      </c>
      <c r="K65" s="223"/>
      <c r="L65" s="223"/>
    </row>
    <row r="66" spans="4:12" x14ac:dyDescent="0.3">
      <c r="D66"/>
      <c r="F66" s="155"/>
      <c r="H66" s="154"/>
      <c r="I66" s="222" t="s">
        <v>534</v>
      </c>
      <c r="J66">
        <v>2023</v>
      </c>
      <c r="K66">
        <v>2024</v>
      </c>
      <c r="L66" s="223" t="s">
        <v>535</v>
      </c>
    </row>
    <row r="67" spans="4:12" x14ac:dyDescent="0.3">
      <c r="D67"/>
      <c r="F67" s="155"/>
      <c r="H67" s="154"/>
      <c r="I67" s="225" t="s">
        <v>274</v>
      </c>
      <c r="J67" s="201"/>
      <c r="K67" s="201">
        <v>2942</v>
      </c>
      <c r="L67" s="201">
        <v>2942</v>
      </c>
    </row>
    <row r="68" spans="4:12" x14ac:dyDescent="0.3">
      <c r="D68"/>
      <c r="F68" s="155"/>
      <c r="I68" s="225" t="s">
        <v>275</v>
      </c>
      <c r="J68" s="201">
        <v>45612.5</v>
      </c>
      <c r="K68" s="201">
        <v>15340</v>
      </c>
      <c r="L68" s="201">
        <v>60952.5</v>
      </c>
    </row>
    <row r="69" spans="4:12" x14ac:dyDescent="0.3">
      <c r="D69"/>
      <c r="F69" s="155"/>
      <c r="I69" s="225" t="s">
        <v>665</v>
      </c>
      <c r="J69" s="201">
        <v>22482.5</v>
      </c>
      <c r="K69" s="201">
        <v>7014</v>
      </c>
      <c r="L69" s="201">
        <v>29496.5</v>
      </c>
    </row>
    <row r="70" spans="4:12" x14ac:dyDescent="0.3">
      <c r="D70"/>
      <c r="F70" s="155"/>
      <c r="I70" s="225" t="s">
        <v>277</v>
      </c>
      <c r="J70" s="201"/>
      <c r="K70" s="201">
        <v>2674</v>
      </c>
      <c r="L70" s="201">
        <v>2674</v>
      </c>
    </row>
    <row r="71" spans="4:12" x14ac:dyDescent="0.3">
      <c r="D71"/>
      <c r="F71" s="155"/>
      <c r="I71" s="225" t="s">
        <v>535</v>
      </c>
      <c r="J71" s="201">
        <v>68095</v>
      </c>
      <c r="K71" s="201">
        <v>27970</v>
      </c>
      <c r="L71" s="201">
        <v>96065</v>
      </c>
    </row>
    <row r="72" spans="4:12" x14ac:dyDescent="0.3">
      <c r="D72"/>
      <c r="F72" s="155"/>
    </row>
    <row r="73" spans="4:12" x14ac:dyDescent="0.3">
      <c r="D73"/>
      <c r="F73" s="155"/>
    </row>
    <row r="74" spans="4:12" x14ac:dyDescent="0.3">
      <c r="D74"/>
      <c r="F74" s="155"/>
    </row>
    <row r="75" spans="4:12" x14ac:dyDescent="0.3">
      <c r="D75"/>
      <c r="F75" s="155"/>
    </row>
    <row r="76" spans="4:12" x14ac:dyDescent="0.3">
      <c r="D76"/>
      <c r="F76" s="155"/>
    </row>
    <row r="77" spans="4:12" x14ac:dyDescent="0.3">
      <c r="D77"/>
      <c r="F77" s="155"/>
    </row>
    <row r="78" spans="4:12" x14ac:dyDescent="0.3">
      <c r="D78"/>
      <c r="F78" s="155"/>
      <c r="G78" s="106"/>
    </row>
    <row r="79" spans="4:12" x14ac:dyDescent="0.3">
      <c r="D79"/>
      <c r="F79" s="155"/>
      <c r="G79" s="106"/>
    </row>
    <row r="80" spans="4:12" x14ac:dyDescent="0.3">
      <c r="D80"/>
      <c r="F80" s="155"/>
      <c r="G80" s="106"/>
    </row>
    <row r="81" spans="4:8" x14ac:dyDescent="0.3">
      <c r="D81"/>
      <c r="F81" s="155"/>
      <c r="G81" s="106"/>
    </row>
    <row r="82" spans="4:8" x14ac:dyDescent="0.3">
      <c r="D82"/>
      <c r="F82" s="155"/>
      <c r="G82" s="106"/>
    </row>
    <row r="83" spans="4:8" x14ac:dyDescent="0.3">
      <c r="D83"/>
      <c r="F83" s="155"/>
      <c r="G83" s="106"/>
    </row>
    <row r="84" spans="4:8" x14ac:dyDescent="0.3">
      <c r="D84"/>
      <c r="F84" s="155"/>
      <c r="G84" s="106"/>
    </row>
    <row r="85" spans="4:8" x14ac:dyDescent="0.3">
      <c r="D85"/>
      <c r="F85" s="155"/>
      <c r="G85" s="106"/>
    </row>
    <row r="86" spans="4:8" x14ac:dyDescent="0.3">
      <c r="D86"/>
      <c r="F86" s="155"/>
      <c r="G86" s="106"/>
      <c r="H86" s="154"/>
    </row>
    <row r="87" spans="4:8" x14ac:dyDescent="0.3">
      <c r="D87"/>
      <c r="F87" s="155"/>
      <c r="G87" s="106"/>
      <c r="H87" s="154"/>
    </row>
    <row r="88" spans="4:8" x14ac:dyDescent="0.3">
      <c r="D88"/>
      <c r="F88" s="155"/>
      <c r="G88" s="106"/>
      <c r="H88" s="154"/>
    </row>
    <row r="89" spans="4:8" x14ac:dyDescent="0.3">
      <c r="D89"/>
      <c r="F89" s="155"/>
      <c r="G89" s="106"/>
      <c r="H89" s="154"/>
    </row>
    <row r="90" spans="4:8" x14ac:dyDescent="0.3">
      <c r="D90"/>
      <c r="F90" s="155"/>
      <c r="G90" s="106"/>
      <c r="H90" s="154"/>
    </row>
    <row r="91" spans="4:8" x14ac:dyDescent="0.3">
      <c r="D91"/>
      <c r="F91" s="155"/>
      <c r="G91" s="106"/>
      <c r="H91" s="154"/>
    </row>
    <row r="92" spans="4:8" x14ac:dyDescent="0.3">
      <c r="D92"/>
      <c r="F92" s="155"/>
      <c r="G92" s="106"/>
      <c r="H92" s="154"/>
    </row>
    <row r="93" spans="4:8" x14ac:dyDescent="0.3">
      <c r="D93"/>
      <c r="F93" s="155"/>
      <c r="G93" s="106"/>
      <c r="H93" s="154"/>
    </row>
    <row r="94" spans="4:8" x14ac:dyDescent="0.3">
      <c r="D94"/>
      <c r="F94" s="155"/>
      <c r="G94" s="106"/>
      <c r="H94" s="154"/>
    </row>
    <row r="95" spans="4:8" x14ac:dyDescent="0.3">
      <c r="D95"/>
      <c r="F95" s="155"/>
      <c r="G95" s="106"/>
      <c r="H95" s="154"/>
    </row>
    <row r="96" spans="4:8" x14ac:dyDescent="0.3">
      <c r="D96"/>
      <c r="F96" s="155"/>
      <c r="G96" s="106"/>
      <c r="H96" s="154"/>
    </row>
    <row r="97" spans="4:8" x14ac:dyDescent="0.3">
      <c r="D97"/>
      <c r="F97" s="155"/>
      <c r="G97" s="106"/>
      <c r="H97" s="154"/>
    </row>
    <row r="98" spans="4:8" x14ac:dyDescent="0.3">
      <c r="D98"/>
      <c r="F98" s="155"/>
      <c r="G98" s="106"/>
      <c r="H98" s="154"/>
    </row>
    <row r="99" spans="4:8" x14ac:dyDescent="0.3">
      <c r="D99"/>
      <c r="F99" s="155"/>
      <c r="G99" s="106"/>
      <c r="H99" s="154"/>
    </row>
    <row r="100" spans="4:8" x14ac:dyDescent="0.3">
      <c r="D100"/>
      <c r="F100" s="155"/>
      <c r="G100" s="106"/>
      <c r="H100" s="154"/>
    </row>
    <row r="101" spans="4:8" x14ac:dyDescent="0.3">
      <c r="D101"/>
      <c r="F101" s="155"/>
      <c r="G101" s="106"/>
      <c r="H101" s="154"/>
    </row>
    <row r="102" spans="4:8" x14ac:dyDescent="0.3">
      <c r="D102"/>
      <c r="F102" s="155"/>
      <c r="G102" s="106"/>
      <c r="H102" s="154"/>
    </row>
    <row r="103" spans="4:8" x14ac:dyDescent="0.3">
      <c r="D103"/>
      <c r="F103" s="155"/>
      <c r="G103" s="106"/>
      <c r="H103" s="154"/>
    </row>
    <row r="104" spans="4:8" x14ac:dyDescent="0.3">
      <c r="D104"/>
      <c r="F104" s="155"/>
      <c r="G104" s="106"/>
      <c r="H104" s="154"/>
    </row>
    <row r="105" spans="4:8" x14ac:dyDescent="0.3">
      <c r="D105"/>
      <c r="F105" s="155"/>
      <c r="G105" s="106"/>
      <c r="H105" s="154"/>
    </row>
    <row r="106" spans="4:8" x14ac:dyDescent="0.3">
      <c r="D106"/>
      <c r="F106" s="155"/>
      <c r="G106" s="106"/>
      <c r="H106" s="154"/>
    </row>
    <row r="107" spans="4:8" x14ac:dyDescent="0.3">
      <c r="D107"/>
      <c r="F107" s="155"/>
      <c r="G107" s="106"/>
      <c r="H107" s="154"/>
    </row>
    <row r="108" spans="4:8" x14ac:dyDescent="0.3">
      <c r="D108"/>
      <c r="F108" s="155"/>
      <c r="G108" s="106"/>
      <c r="H108" s="154"/>
    </row>
    <row r="109" spans="4:8" x14ac:dyDescent="0.3">
      <c r="D109"/>
      <c r="F109" s="155"/>
      <c r="G109" s="106"/>
      <c r="H109" s="154"/>
    </row>
    <row r="110" spans="4:8" x14ac:dyDescent="0.3">
      <c r="D110"/>
      <c r="F110" s="155"/>
      <c r="G110" s="106"/>
      <c r="H110" s="154"/>
    </row>
    <row r="111" spans="4:8" x14ac:dyDescent="0.3">
      <c r="D111"/>
      <c r="F111" s="155"/>
      <c r="G111" s="106"/>
      <c r="H111" s="154"/>
    </row>
    <row r="112" spans="4:8" x14ac:dyDescent="0.3">
      <c r="D112"/>
      <c r="F112" s="155"/>
      <c r="G112" s="106"/>
      <c r="H112" s="154"/>
    </row>
    <row r="113" spans="4:8" x14ac:dyDescent="0.3">
      <c r="D113"/>
      <c r="F113" s="155"/>
      <c r="G113" s="106"/>
      <c r="H113" s="154"/>
    </row>
    <row r="114" spans="4:8" x14ac:dyDescent="0.3">
      <c r="D114"/>
      <c r="F114" s="155"/>
      <c r="G114" s="106"/>
      <c r="H114" s="154"/>
    </row>
    <row r="115" spans="4:8" x14ac:dyDescent="0.3">
      <c r="D115"/>
      <c r="F115" s="155"/>
      <c r="G115" s="106"/>
      <c r="H115" s="154"/>
    </row>
    <row r="116" spans="4:8" x14ac:dyDescent="0.3">
      <c r="D116"/>
      <c r="F116" s="155"/>
      <c r="G116" s="106"/>
      <c r="H116" s="154"/>
    </row>
    <row r="117" spans="4:8" x14ac:dyDescent="0.3">
      <c r="D117"/>
      <c r="F117" s="155"/>
      <c r="G117" s="106"/>
      <c r="H117" s="154"/>
    </row>
    <row r="118" spans="4:8" x14ac:dyDescent="0.3">
      <c r="D118"/>
      <c r="F118" s="155"/>
      <c r="G118" s="106"/>
      <c r="H118" s="154"/>
    </row>
    <row r="119" spans="4:8" x14ac:dyDescent="0.3">
      <c r="D119"/>
      <c r="F119" s="155"/>
      <c r="G119" s="106"/>
      <c r="H119" s="154"/>
    </row>
    <row r="120" spans="4:8" x14ac:dyDescent="0.3">
      <c r="D120"/>
      <c r="F120" s="155"/>
      <c r="G120" s="106"/>
      <c r="H120" s="154"/>
    </row>
    <row r="121" spans="4:8" x14ac:dyDescent="0.3">
      <c r="D121"/>
      <c r="F121" s="155"/>
      <c r="G121" s="106"/>
      <c r="H121" s="154"/>
    </row>
    <row r="122" spans="4:8" x14ac:dyDescent="0.3">
      <c r="D122"/>
      <c r="F122" s="155"/>
      <c r="G122" s="106"/>
      <c r="H122" s="154"/>
    </row>
    <row r="123" spans="4:8" x14ac:dyDescent="0.3">
      <c r="D123"/>
      <c r="F123" s="155"/>
      <c r="G123" s="106"/>
      <c r="H123" s="154"/>
    </row>
    <row r="124" spans="4:8" x14ac:dyDescent="0.3">
      <c r="D124"/>
      <c r="F124" s="155"/>
      <c r="G124" s="106"/>
      <c r="H124" s="154"/>
    </row>
    <row r="125" spans="4:8" x14ac:dyDescent="0.3">
      <c r="D125"/>
      <c r="F125" s="155"/>
      <c r="G125" s="106"/>
      <c r="H125" s="154"/>
    </row>
    <row r="126" spans="4:8" ht="15" hidden="1" x14ac:dyDescent="0.25">
      <c r="D126"/>
      <c r="F126" s="155"/>
      <c r="G126" s="106"/>
      <c r="H126" s="154"/>
    </row>
    <row r="127" spans="4:8" x14ac:dyDescent="0.3">
      <c r="D127"/>
      <c r="F127" s="155"/>
      <c r="G127" s="106"/>
      <c r="H127" s="154"/>
    </row>
    <row r="128" spans="4:8" x14ac:dyDescent="0.3">
      <c r="D128"/>
      <c r="F128" s="155"/>
      <c r="G128" s="106"/>
      <c r="H128" s="154"/>
    </row>
    <row r="129" spans="4:8" x14ac:dyDescent="0.3">
      <c r="D129"/>
      <c r="F129" s="155"/>
      <c r="G129" s="106"/>
      <c r="H129" s="154"/>
    </row>
    <row r="130" spans="4:8" x14ac:dyDescent="0.3">
      <c r="D130"/>
      <c r="F130" s="155"/>
      <c r="G130" s="106"/>
      <c r="H130" s="154"/>
    </row>
    <row r="131" spans="4:8" x14ac:dyDescent="0.3">
      <c r="D131"/>
      <c r="F131" s="155"/>
      <c r="G131" s="106"/>
      <c r="H131" s="154"/>
    </row>
    <row r="132" spans="4:8" x14ac:dyDescent="0.3">
      <c r="D132"/>
      <c r="F132" s="155"/>
      <c r="G132" s="106"/>
      <c r="H132" s="154"/>
    </row>
    <row r="133" spans="4:8" x14ac:dyDescent="0.3">
      <c r="D133"/>
      <c r="F133" s="155"/>
      <c r="G133" s="106"/>
      <c r="H133" s="154"/>
    </row>
    <row r="134" spans="4:8" x14ac:dyDescent="0.3">
      <c r="D134"/>
      <c r="F134" s="155"/>
      <c r="G134" s="106"/>
      <c r="H134" s="154"/>
    </row>
    <row r="135" spans="4:8" x14ac:dyDescent="0.3">
      <c r="D135"/>
      <c r="F135" s="155"/>
      <c r="G135" s="106"/>
      <c r="H135" s="154"/>
    </row>
    <row r="136" spans="4:8" x14ac:dyDescent="0.3">
      <c r="D136"/>
      <c r="F136" s="155"/>
      <c r="G136" s="106"/>
      <c r="H136" s="154"/>
    </row>
    <row r="137" spans="4:8" x14ac:dyDescent="0.3">
      <c r="D137"/>
      <c r="F137" s="155"/>
      <c r="G137" s="106"/>
      <c r="H137" s="154"/>
    </row>
    <row r="138" spans="4:8" x14ac:dyDescent="0.3">
      <c r="D138"/>
      <c r="F138" s="155"/>
      <c r="G138" s="106"/>
      <c r="H138" s="154"/>
    </row>
    <row r="139" spans="4:8" x14ac:dyDescent="0.3">
      <c r="D139"/>
      <c r="F139" s="155"/>
      <c r="G139" s="106"/>
      <c r="H139" s="154"/>
    </row>
    <row r="140" spans="4:8" x14ac:dyDescent="0.3">
      <c r="D140"/>
      <c r="F140" s="155"/>
      <c r="G140" s="106"/>
      <c r="H140" s="154"/>
    </row>
    <row r="141" spans="4:8" x14ac:dyDescent="0.3">
      <c r="D141"/>
      <c r="F141" s="155"/>
      <c r="G141" s="106"/>
      <c r="H141" s="154"/>
    </row>
    <row r="142" spans="4:8" x14ac:dyDescent="0.3">
      <c r="D142"/>
      <c r="F142" s="155"/>
      <c r="G142" s="106"/>
      <c r="H142" s="154"/>
    </row>
    <row r="143" spans="4:8" x14ac:dyDescent="0.3">
      <c r="D143"/>
      <c r="F143" s="155"/>
      <c r="G143" s="106"/>
      <c r="H143" s="154"/>
    </row>
    <row r="144" spans="4:8" x14ac:dyDescent="0.3">
      <c r="D144"/>
      <c r="F144" s="155"/>
      <c r="G144" s="106"/>
      <c r="H144" s="154"/>
    </row>
    <row r="145" spans="4:8" x14ac:dyDescent="0.3">
      <c r="D145"/>
      <c r="F145" s="155"/>
      <c r="G145" s="106"/>
      <c r="H145" s="154"/>
    </row>
    <row r="146" spans="4:8" x14ac:dyDescent="0.3">
      <c r="D146"/>
      <c r="F146" s="155"/>
      <c r="G146" s="106"/>
      <c r="H146" s="154"/>
    </row>
    <row r="147" spans="4:8" x14ac:dyDescent="0.3">
      <c r="D147"/>
      <c r="F147" s="155"/>
      <c r="G147" s="106"/>
      <c r="H147" s="154"/>
    </row>
    <row r="148" spans="4:8" x14ac:dyDescent="0.3">
      <c r="D148"/>
      <c r="F148" s="155"/>
      <c r="G148" s="106"/>
      <c r="H148" s="154"/>
    </row>
    <row r="149" spans="4:8" x14ac:dyDescent="0.3">
      <c r="D149"/>
      <c r="F149" s="155"/>
      <c r="G149" s="106"/>
      <c r="H149" s="154"/>
    </row>
    <row r="150" spans="4:8" x14ac:dyDescent="0.3">
      <c r="D150"/>
      <c r="F150" s="155"/>
      <c r="G150" s="106"/>
      <c r="H150" s="154"/>
    </row>
    <row r="151" spans="4:8" x14ac:dyDescent="0.3">
      <c r="D151"/>
      <c r="F151" s="155"/>
      <c r="G151" s="106"/>
      <c r="H151" s="154"/>
    </row>
    <row r="152" spans="4:8" x14ac:dyDescent="0.3">
      <c r="D152"/>
      <c r="F152" s="155"/>
      <c r="G152" s="106"/>
      <c r="H152" s="154"/>
    </row>
    <row r="153" spans="4:8" x14ac:dyDescent="0.3">
      <c r="D153"/>
      <c r="F153" s="155"/>
      <c r="G153" s="106"/>
      <c r="H153" s="154"/>
    </row>
    <row r="154" spans="4:8" x14ac:dyDescent="0.3">
      <c r="D154"/>
      <c r="F154" s="155"/>
      <c r="G154" s="106"/>
      <c r="H154" s="154"/>
    </row>
    <row r="155" spans="4:8" x14ac:dyDescent="0.3">
      <c r="D155"/>
      <c r="F155" s="155"/>
      <c r="G155" s="106"/>
      <c r="H155" s="154"/>
    </row>
    <row r="156" spans="4:8" x14ac:dyDescent="0.3">
      <c r="D156"/>
      <c r="F156" s="155"/>
      <c r="G156" s="106"/>
      <c r="H156" s="154"/>
    </row>
    <row r="157" spans="4:8" x14ac:dyDescent="0.3">
      <c r="D157"/>
      <c r="F157" s="155"/>
      <c r="G157" s="106"/>
      <c r="H157" s="154"/>
    </row>
    <row r="158" spans="4:8" x14ac:dyDescent="0.3">
      <c r="D158"/>
      <c r="F158" s="106"/>
      <c r="G158" s="106"/>
    </row>
    <row r="159" spans="4:8" x14ac:dyDescent="0.3">
      <c r="D159"/>
      <c r="F159" s="154"/>
      <c r="G159" s="106"/>
    </row>
    <row r="160" spans="4:8" x14ac:dyDescent="0.3">
      <c r="D160"/>
    </row>
    <row r="161" spans="4:4" x14ac:dyDescent="0.3">
      <c r="D161"/>
    </row>
    <row r="162" spans="4:4" x14ac:dyDescent="0.3">
      <c r="D162"/>
    </row>
    <row r="163" spans="4:4" x14ac:dyDescent="0.3">
      <c r="D163"/>
    </row>
    <row r="164" spans="4:4" x14ac:dyDescent="0.3">
      <c r="D164"/>
    </row>
    <row r="165" spans="4:4" x14ac:dyDescent="0.3">
      <c r="D165"/>
    </row>
    <row r="166" spans="4:4" x14ac:dyDescent="0.3">
      <c r="D166"/>
    </row>
    <row r="167" spans="4:4" x14ac:dyDescent="0.3">
      <c r="D167"/>
    </row>
    <row r="168" spans="4:4" x14ac:dyDescent="0.3">
      <c r="D168"/>
    </row>
    <row r="169" spans="4:4" x14ac:dyDescent="0.3">
      <c r="D169"/>
    </row>
    <row r="170" spans="4:4" x14ac:dyDescent="0.3">
      <c r="D170"/>
    </row>
    <row r="171" spans="4:4" x14ac:dyDescent="0.3">
      <c r="D171"/>
    </row>
    <row r="172" spans="4:4" x14ac:dyDescent="0.3">
      <c r="D172"/>
    </row>
    <row r="173" spans="4:4" x14ac:dyDescent="0.3">
      <c r="D173"/>
    </row>
    <row r="174" spans="4:4" x14ac:dyDescent="0.3">
      <c r="D174"/>
    </row>
    <row r="175" spans="4:4" x14ac:dyDescent="0.3">
      <c r="D175"/>
    </row>
    <row r="176" spans="4:4" x14ac:dyDescent="0.3">
      <c r="D176"/>
    </row>
    <row r="177" spans="4:4" x14ac:dyDescent="0.3">
      <c r="D177"/>
    </row>
    <row r="178" spans="4:4" x14ac:dyDescent="0.3">
      <c r="D178"/>
    </row>
    <row r="179" spans="4:4" x14ac:dyDescent="0.3">
      <c r="D179"/>
    </row>
  </sheetData>
  <phoneticPr fontId="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C0515-A782-443F-B25D-D8AE2C9C0031}">
  <sheetPr>
    <tabColor rgb="FF92D050"/>
  </sheetPr>
  <dimension ref="A1:AG111"/>
  <sheetViews>
    <sheetView showGridLines="0" topLeftCell="A2" zoomScale="99" zoomScaleNormal="100" workbookViewId="0">
      <selection activeCell="K27" sqref="K27"/>
    </sheetView>
  </sheetViews>
  <sheetFormatPr baseColWidth="10" defaultColWidth="11.5546875" defaultRowHeight="14.4" x14ac:dyDescent="0.3"/>
  <cols>
    <col min="1" max="1" width="13.109375" style="203" customWidth="1"/>
    <col min="2" max="2" width="12.6640625" style="203" customWidth="1"/>
    <col min="3" max="3" width="22.88671875" style="204" customWidth="1"/>
    <col min="4" max="4" width="9.6640625" style="203" customWidth="1"/>
    <col min="5" max="5" width="12.6640625" style="203" bestFit="1" customWidth="1"/>
    <col min="6" max="6" width="24" style="203" bestFit="1" customWidth="1"/>
    <col min="7" max="7" width="18.109375" style="205" bestFit="1" customWidth="1"/>
    <col min="8" max="8" width="26.33203125" style="203" bestFit="1" customWidth="1"/>
    <col min="9" max="9" width="27.33203125" style="203" bestFit="1" customWidth="1"/>
    <col min="10" max="10" width="16.6640625" style="203" bestFit="1" customWidth="1"/>
    <col min="11" max="11" width="24.33203125" style="203" bestFit="1" customWidth="1"/>
    <col min="12" max="12" width="25.33203125" style="203" bestFit="1" customWidth="1"/>
    <col min="13" max="13" width="37.6640625" style="203" customWidth="1"/>
    <col min="14" max="14" width="28.6640625" style="203" bestFit="1" customWidth="1"/>
    <col min="15" max="15" width="32.6640625" style="203" customWidth="1"/>
    <col min="16" max="16" width="36.88671875" style="203" customWidth="1"/>
    <col min="17" max="17" width="49.44140625" style="203" customWidth="1"/>
    <col min="18" max="18" width="19.6640625" style="203" bestFit="1" customWidth="1"/>
    <col min="19" max="19" width="11.5546875" style="203"/>
    <col min="20" max="20" width="18.6640625" style="203" bestFit="1" customWidth="1"/>
    <col min="21" max="22" width="11.5546875" style="203"/>
    <col min="23" max="23" width="28" style="203" bestFit="1" customWidth="1"/>
    <col min="24" max="24" width="25.44140625" style="203" bestFit="1" customWidth="1"/>
    <col min="25" max="25" width="22.109375" style="203" bestFit="1" customWidth="1"/>
    <col min="26" max="26" width="15.33203125" style="203" bestFit="1" customWidth="1"/>
    <col min="27" max="28" width="28" style="203" bestFit="1" customWidth="1"/>
    <col min="29" max="29" width="34" style="203" bestFit="1" customWidth="1"/>
    <col min="30" max="31" width="14.88671875" style="203" bestFit="1" customWidth="1"/>
    <col min="32" max="32" width="18.33203125" style="203" bestFit="1" customWidth="1"/>
    <col min="33" max="33" width="30.33203125" style="203" bestFit="1" customWidth="1"/>
    <col min="34" max="34" width="27.33203125" style="203" bestFit="1" customWidth="1"/>
    <col min="35" max="35" width="28" style="203" bestFit="1" customWidth="1"/>
    <col min="36" max="36" width="23.6640625" style="203" bestFit="1" customWidth="1"/>
    <col min="37" max="38" width="28" style="203" bestFit="1" customWidth="1"/>
    <col min="39" max="39" width="27.33203125" style="203" bestFit="1" customWidth="1"/>
    <col min="40" max="40" width="34.5546875" style="203" bestFit="1" customWidth="1"/>
    <col min="41" max="41" width="49" style="203" bestFit="1" customWidth="1"/>
    <col min="42" max="42" width="46.33203125" style="203" bestFit="1" customWidth="1"/>
    <col min="43" max="43" width="34.33203125" style="203" bestFit="1" customWidth="1"/>
    <col min="44" max="44" width="45.6640625" style="203" bestFit="1" customWidth="1"/>
    <col min="45" max="45" width="22.33203125" style="203" bestFit="1" customWidth="1"/>
    <col min="46" max="46" width="42.88671875" style="203" bestFit="1" customWidth="1"/>
    <col min="47" max="47" width="54" style="203" bestFit="1" customWidth="1"/>
    <col min="48" max="48" width="27.109375" style="203" bestFit="1" customWidth="1"/>
    <col min="49" max="49" width="30.109375" style="203" bestFit="1" customWidth="1"/>
    <col min="50" max="50" width="44.5546875" style="203" bestFit="1" customWidth="1"/>
    <col min="51" max="51" width="22.88671875" style="203" bestFit="1" customWidth="1"/>
    <col min="52" max="52" width="44.88671875" style="203" bestFit="1" customWidth="1"/>
    <col min="53" max="53" width="29.88671875" style="203" bestFit="1" customWidth="1"/>
    <col min="54" max="55" width="42.88671875" style="203" bestFit="1" customWidth="1"/>
    <col min="56" max="56" width="27.6640625" style="203" bestFit="1" customWidth="1"/>
    <col min="57" max="57" width="12.6640625" style="203" bestFit="1" customWidth="1"/>
    <col min="58" max="58" width="44.33203125" style="203" bestFit="1" customWidth="1"/>
    <col min="59" max="59" width="8.33203125" style="203" bestFit="1" customWidth="1"/>
    <col min="60" max="60" width="15.6640625" style="203" bestFit="1" customWidth="1"/>
    <col min="61" max="61" width="17.88671875" style="203" bestFit="1" customWidth="1"/>
    <col min="62" max="16384" width="11.5546875" style="203"/>
  </cols>
  <sheetData>
    <row r="1" spans="1:33" ht="14.4" customHeight="1" x14ac:dyDescent="0.65">
      <c r="A1" s="215" t="s">
        <v>980</v>
      </c>
      <c r="B1" s="216">
        <f ca="1">TODAY()</f>
        <v>45505</v>
      </c>
      <c r="C1" s="217" t="s">
        <v>243</v>
      </c>
      <c r="D1" s="256" t="s">
        <v>983</v>
      </c>
      <c r="E1" s="256"/>
      <c r="F1" s="256"/>
      <c r="G1" s="256"/>
      <c r="H1" s="256"/>
      <c r="I1" s="256"/>
      <c r="J1" s="210"/>
      <c r="K1" s="210"/>
      <c r="L1" s="210"/>
      <c r="M1" s="211"/>
      <c r="N1" s="211"/>
      <c r="O1" s="211"/>
      <c r="P1" s="211"/>
      <c r="Q1" s="211"/>
      <c r="R1" s="211"/>
      <c r="S1" s="211"/>
      <c r="T1" s="211"/>
      <c r="U1" s="211"/>
    </row>
    <row r="2" spans="1:33" ht="14.4" customHeight="1" x14ac:dyDescent="0.3">
      <c r="A2" s="215" t="s">
        <v>981</v>
      </c>
      <c r="B2" s="216">
        <v>45383</v>
      </c>
      <c r="C2" s="217" t="s">
        <v>982</v>
      </c>
      <c r="D2" s="256"/>
      <c r="E2" s="256"/>
      <c r="F2" s="256"/>
      <c r="G2" s="256"/>
      <c r="H2" s="256"/>
      <c r="I2" s="256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</row>
    <row r="3" spans="1:33" ht="14.4" customHeight="1" x14ac:dyDescent="0.3">
      <c r="A3" s="211"/>
      <c r="B3" s="211"/>
      <c r="C3" s="212"/>
      <c r="D3" s="256"/>
      <c r="E3" s="256"/>
      <c r="F3" s="256"/>
      <c r="G3" s="256"/>
      <c r="H3" s="256"/>
      <c r="I3" s="256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</row>
    <row r="4" spans="1:33" ht="14.4" customHeight="1" x14ac:dyDescent="0.3">
      <c r="A4" s="211"/>
      <c r="B4" s="211"/>
      <c r="C4" s="212"/>
      <c r="D4" s="256"/>
      <c r="E4" s="256"/>
      <c r="F4" s="256"/>
      <c r="G4" s="256"/>
      <c r="H4" s="256"/>
      <c r="I4" s="256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</row>
    <row r="5" spans="1:33" ht="14.4" customHeight="1" x14ac:dyDescent="0.3">
      <c r="A5" s="211"/>
      <c r="B5" s="211"/>
      <c r="C5" s="212"/>
      <c r="D5" s="256"/>
      <c r="E5" s="256"/>
      <c r="F5" s="256"/>
      <c r="G5" s="256"/>
      <c r="H5" s="256"/>
      <c r="I5" s="256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</row>
    <row r="6" spans="1:33" ht="14.4" customHeight="1" x14ac:dyDescent="0.3">
      <c r="A6" s="211"/>
      <c r="B6" s="211"/>
      <c r="C6" s="212"/>
      <c r="D6" s="211"/>
      <c r="E6" s="211"/>
      <c r="F6" s="211"/>
      <c r="G6" s="213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AF6" s="206"/>
    </row>
    <row r="7" spans="1:33" ht="14.4" customHeight="1" x14ac:dyDescent="0.3">
      <c r="A7" s="211"/>
      <c r="B7" s="211"/>
      <c r="C7" s="212"/>
      <c r="D7" s="211"/>
      <c r="E7" s="211"/>
      <c r="F7" s="211"/>
      <c r="G7" s="213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AF7" s="206"/>
    </row>
    <row r="8" spans="1:33" ht="14.4" customHeight="1" x14ac:dyDescent="0.3">
      <c r="A8" s="211"/>
      <c r="B8" s="211"/>
      <c r="C8" s="212"/>
      <c r="D8" s="211"/>
      <c r="E8" s="211"/>
      <c r="F8" s="211"/>
      <c r="G8" s="213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AF8" s="206"/>
    </row>
    <row r="9" spans="1:33" ht="14.4" customHeight="1" x14ac:dyDescent="0.3">
      <c r="A9" s="211"/>
      <c r="B9" s="211"/>
      <c r="C9" s="212"/>
      <c r="D9" s="211"/>
      <c r="E9" s="211"/>
      <c r="F9" s="211"/>
      <c r="G9" s="213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AF9" s="206"/>
    </row>
    <row r="10" spans="1:33" ht="14.4" customHeight="1" x14ac:dyDescent="0.3">
      <c r="A10" s="211"/>
      <c r="B10" s="211"/>
      <c r="C10" s="212"/>
      <c r="D10" s="211"/>
      <c r="E10" s="211"/>
      <c r="F10" s="211"/>
      <c r="G10" s="213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AF10" s="206"/>
    </row>
    <row r="11" spans="1:33" ht="14.4" customHeight="1" x14ac:dyDescent="0.3">
      <c r="A11" s="211"/>
      <c r="B11" s="211"/>
      <c r="C11" s="212"/>
      <c r="D11" s="211"/>
      <c r="E11" s="211"/>
      <c r="F11" s="211"/>
      <c r="G11" s="213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AF11" s="206"/>
    </row>
    <row r="12" spans="1:33" ht="14.4" customHeight="1" x14ac:dyDescent="0.3">
      <c r="A12" s="211"/>
      <c r="B12" s="211"/>
      <c r="C12" s="212"/>
      <c r="D12" s="211"/>
      <c r="E12" s="211"/>
      <c r="F12" s="211"/>
      <c r="G12" s="213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AF12" s="206"/>
    </row>
    <row r="13" spans="1:33" ht="14.4" customHeight="1" x14ac:dyDescent="0.3">
      <c r="A13" s="211"/>
      <c r="B13" s="211"/>
      <c r="C13" s="212"/>
      <c r="D13" s="211"/>
      <c r="E13" s="211"/>
      <c r="F13" s="211"/>
      <c r="G13" s="213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AF13" s="206"/>
    </row>
    <row r="14" spans="1:33" ht="14.4" customHeight="1" x14ac:dyDescent="0.3">
      <c r="A14" s="211"/>
      <c r="B14" s="211"/>
      <c r="C14" s="212"/>
      <c r="D14" s="211"/>
      <c r="E14" s="211"/>
      <c r="F14" s="211"/>
      <c r="G14" s="213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AF14" s="206"/>
    </row>
    <row r="15" spans="1:33" ht="14.4" customHeight="1" x14ac:dyDescent="0.3">
      <c r="A15" s="211"/>
      <c r="B15" s="211"/>
      <c r="C15" s="212"/>
      <c r="D15" s="211"/>
      <c r="E15" s="211"/>
      <c r="F15" s="211"/>
      <c r="G15" s="213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AF15" s="207"/>
      <c r="AG15" s="208"/>
    </row>
    <row r="16" spans="1:33" ht="14.4" customHeight="1" x14ac:dyDescent="0.3">
      <c r="A16" s="211"/>
      <c r="B16" s="211"/>
      <c r="C16" s="212"/>
      <c r="D16" s="211"/>
      <c r="E16" s="211"/>
      <c r="F16" s="211"/>
      <c r="G16" s="213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</row>
    <row r="17" spans="1:21" ht="14.4" customHeight="1" x14ac:dyDescent="0.3">
      <c r="A17" s="211"/>
      <c r="B17" s="211"/>
      <c r="C17" s="212"/>
      <c r="D17" s="211"/>
      <c r="E17" s="211"/>
      <c r="F17" s="211"/>
      <c r="G17" s="213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</row>
    <row r="18" spans="1:21" ht="14.4" customHeight="1" x14ac:dyDescent="0.3">
      <c r="A18" s="211"/>
      <c r="B18" s="211"/>
      <c r="C18" s="212"/>
      <c r="D18" s="211"/>
      <c r="E18" s="211"/>
      <c r="F18" s="211"/>
      <c r="G18" s="213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</row>
    <row r="19" spans="1:21" ht="14.4" customHeight="1" x14ac:dyDescent="0.3">
      <c r="A19" s="211"/>
      <c r="B19" s="211"/>
      <c r="C19" s="212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</row>
    <row r="20" spans="1:21" ht="14.4" customHeight="1" x14ac:dyDescent="0.3">
      <c r="A20" s="211"/>
      <c r="B20" s="211"/>
      <c r="C20" s="212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</row>
    <row r="21" spans="1:21" ht="14.4" customHeight="1" x14ac:dyDescent="0.3">
      <c r="A21" s="211"/>
      <c r="B21" s="211"/>
      <c r="C21" s="212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</row>
    <row r="22" spans="1:21" x14ac:dyDescent="0.3">
      <c r="A22" s="211"/>
      <c r="B22" s="211"/>
      <c r="C22" s="212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</row>
    <row r="23" spans="1:21" ht="14.4" customHeight="1" x14ac:dyDescent="0.3">
      <c r="A23" s="211"/>
      <c r="B23" s="211"/>
      <c r="C23" s="212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</row>
    <row r="24" spans="1:21" ht="14.4" customHeight="1" x14ac:dyDescent="0.3">
      <c r="A24" s="211"/>
      <c r="B24" s="211"/>
      <c r="C24" s="212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</row>
    <row r="25" spans="1:21" ht="14.4" customHeight="1" x14ac:dyDescent="0.3">
      <c r="A25" s="211"/>
      <c r="B25" s="211"/>
      <c r="C25" s="212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</row>
    <row r="26" spans="1:21" ht="14.4" customHeight="1" x14ac:dyDescent="0.3">
      <c r="A26" s="211"/>
      <c r="B26" s="211"/>
      <c r="C26" s="212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</row>
    <row r="27" spans="1:21" ht="14.4" customHeight="1" x14ac:dyDescent="0.3">
      <c r="A27" s="211"/>
      <c r="B27" s="211"/>
      <c r="C27" s="212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</row>
    <row r="28" spans="1:21" ht="14.4" customHeight="1" x14ac:dyDescent="0.3">
      <c r="A28" s="211"/>
      <c r="B28" s="211"/>
      <c r="C28" s="212"/>
      <c r="D28" s="211"/>
      <c r="E28" s="211"/>
      <c r="F28" s="211"/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</row>
    <row r="29" spans="1:21" ht="14.4" customHeight="1" x14ac:dyDescent="0.3">
      <c r="A29" s="211"/>
      <c r="B29" s="211"/>
      <c r="C29" s="212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</row>
    <row r="30" spans="1:21" ht="14.4" customHeight="1" x14ac:dyDescent="0.3">
      <c r="A30" s="211"/>
      <c r="B30" s="211"/>
      <c r="C30" s="212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</row>
    <row r="31" spans="1:21" ht="14.4" customHeight="1" x14ac:dyDescent="0.3">
      <c r="A31" s="211"/>
      <c r="B31" s="211"/>
      <c r="C31" s="212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</row>
    <row r="32" spans="1:21" ht="14.4" customHeight="1" x14ac:dyDescent="0.3">
      <c r="A32" s="211"/>
      <c r="B32" s="211"/>
      <c r="C32" s="212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</row>
    <row r="33" spans="1:21" ht="14.4" customHeight="1" x14ac:dyDescent="0.3">
      <c r="A33" s="211"/>
      <c r="B33" s="211"/>
      <c r="C33" s="212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</row>
    <row r="34" spans="1:21" ht="14.4" customHeight="1" x14ac:dyDescent="0.3">
      <c r="A34" s="211"/>
      <c r="B34" s="211"/>
      <c r="C34" s="212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</row>
    <row r="35" spans="1:21" ht="14.4" customHeight="1" x14ac:dyDescent="0.3">
      <c r="A35" s="211"/>
      <c r="B35" s="211"/>
      <c r="C35" s="212"/>
      <c r="D35" s="211"/>
      <c r="E35" s="211"/>
      <c r="F35" s="211"/>
      <c r="G35" s="213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</row>
    <row r="36" spans="1:21" ht="14.4" customHeight="1" x14ac:dyDescent="0.3">
      <c r="A36" s="211"/>
      <c r="B36" s="211"/>
      <c r="C36" s="212"/>
      <c r="D36" s="211"/>
      <c r="E36" s="211"/>
      <c r="F36" s="211"/>
      <c r="G36" s="213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</row>
    <row r="37" spans="1:21" ht="14.4" customHeight="1" x14ac:dyDescent="0.3">
      <c r="A37" s="211"/>
      <c r="B37" s="211"/>
      <c r="C37" s="212"/>
      <c r="D37" s="211"/>
      <c r="E37" s="211"/>
      <c r="F37" s="211"/>
      <c r="G37" s="213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</row>
    <row r="38" spans="1:21" ht="14.4" customHeight="1" x14ac:dyDescent="0.3">
      <c r="A38" s="211"/>
      <c r="B38" s="211"/>
      <c r="C38" s="212"/>
      <c r="D38" s="211"/>
      <c r="E38" s="211"/>
      <c r="F38" s="211"/>
      <c r="G38" s="213"/>
      <c r="H38" s="211"/>
      <c r="I38" s="211"/>
      <c r="J38" s="211"/>
      <c r="K38" s="211"/>
      <c r="L38" s="211"/>
      <c r="M38" s="211"/>
      <c r="N38" s="214"/>
      <c r="O38" s="211"/>
      <c r="P38" s="211"/>
      <c r="Q38" s="211"/>
      <c r="R38" s="211"/>
      <c r="S38" s="211"/>
      <c r="T38" s="211"/>
      <c r="U38" s="211"/>
    </row>
    <row r="39" spans="1:21" x14ac:dyDescent="0.3">
      <c r="A39" s="211"/>
      <c r="B39" s="211"/>
      <c r="C39" s="212"/>
      <c r="D39" s="211"/>
      <c r="E39" s="211"/>
      <c r="F39" s="211"/>
      <c r="G39" s="213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</row>
    <row r="40" spans="1:21" x14ac:dyDescent="0.3">
      <c r="A40" s="211"/>
      <c r="B40" s="211"/>
      <c r="C40" s="212"/>
      <c r="D40" s="211"/>
      <c r="E40" s="211"/>
      <c r="F40" s="211"/>
      <c r="G40" s="213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</row>
    <row r="41" spans="1:21" x14ac:dyDescent="0.3">
      <c r="A41" s="211"/>
      <c r="B41" s="211"/>
      <c r="C41" s="212"/>
      <c r="D41" s="211"/>
      <c r="E41" s="211"/>
      <c r="F41" s="211"/>
      <c r="G41" s="213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</row>
    <row r="42" spans="1:21" x14ac:dyDescent="0.3">
      <c r="A42" s="211"/>
      <c r="B42" s="211"/>
      <c r="C42" s="212"/>
      <c r="D42" s="211"/>
      <c r="E42" s="211"/>
      <c r="F42" s="211"/>
      <c r="G42" s="213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</row>
    <row r="43" spans="1:21" x14ac:dyDescent="0.3">
      <c r="A43" s="211"/>
      <c r="B43" s="211"/>
      <c r="C43" s="212"/>
      <c r="D43" s="211"/>
      <c r="E43" s="211"/>
      <c r="F43" s="211"/>
      <c r="G43" s="213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</row>
    <row r="44" spans="1:21" x14ac:dyDescent="0.3">
      <c r="A44" s="211"/>
      <c r="B44" s="211"/>
      <c r="C44" s="212"/>
      <c r="D44" s="211"/>
      <c r="E44" s="211"/>
      <c r="F44" s="211"/>
      <c r="G44" s="213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</row>
    <row r="45" spans="1:21" x14ac:dyDescent="0.3">
      <c r="A45" s="211"/>
      <c r="B45" s="211"/>
      <c r="C45" s="212"/>
      <c r="D45" s="211"/>
      <c r="E45" s="211"/>
      <c r="F45" s="211"/>
      <c r="G45" s="213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</row>
    <row r="46" spans="1:21" x14ac:dyDescent="0.3">
      <c r="A46" s="211"/>
      <c r="B46" s="211"/>
      <c r="C46" s="212"/>
      <c r="D46" s="211"/>
      <c r="E46" s="211"/>
      <c r="F46" s="211"/>
      <c r="G46" s="213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</row>
    <row r="47" spans="1:21" x14ac:dyDescent="0.3">
      <c r="A47" s="211"/>
      <c r="B47" s="211"/>
      <c r="C47" s="212"/>
      <c r="D47" s="211"/>
      <c r="E47" s="211"/>
      <c r="F47" s="211"/>
      <c r="G47" s="213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</row>
    <row r="48" spans="1:21" x14ac:dyDescent="0.3">
      <c r="A48" s="211"/>
      <c r="B48" s="211"/>
      <c r="C48" s="212"/>
      <c r="D48" s="211"/>
      <c r="E48" s="211"/>
      <c r="F48" s="211"/>
      <c r="G48" s="213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</row>
    <row r="88" spans="30:30" x14ac:dyDescent="0.3">
      <c r="AD88" s="206"/>
    </row>
    <row r="89" spans="30:30" x14ac:dyDescent="0.3">
      <c r="AD89" s="206"/>
    </row>
    <row r="90" spans="30:30" x14ac:dyDescent="0.3">
      <c r="AD90" s="206"/>
    </row>
    <row r="91" spans="30:30" x14ac:dyDescent="0.3">
      <c r="AD91" s="206"/>
    </row>
    <row r="92" spans="30:30" x14ac:dyDescent="0.3">
      <c r="AD92" s="206"/>
    </row>
    <row r="93" spans="30:30" x14ac:dyDescent="0.3">
      <c r="AD93" s="206"/>
    </row>
    <row r="94" spans="30:30" x14ac:dyDescent="0.3">
      <c r="AD94" s="206"/>
    </row>
    <row r="95" spans="30:30" x14ac:dyDescent="0.3">
      <c r="AD95" s="206"/>
    </row>
    <row r="96" spans="30:30" x14ac:dyDescent="0.3">
      <c r="AD96" s="206"/>
    </row>
    <row r="97" spans="7:31" x14ac:dyDescent="0.3">
      <c r="AD97" s="206"/>
    </row>
    <row r="98" spans="7:31" ht="15.6" x14ac:dyDescent="0.3">
      <c r="AD98" s="209"/>
      <c r="AE98" s="208"/>
    </row>
    <row r="109" spans="7:31" x14ac:dyDescent="0.3">
      <c r="G109" s="203"/>
    </row>
    <row r="110" spans="7:31" x14ac:dyDescent="0.3">
      <c r="G110" s="203"/>
    </row>
    <row r="111" spans="7:31" x14ac:dyDescent="0.3">
      <c r="G111" s="203"/>
    </row>
  </sheetData>
  <mergeCells count="1">
    <mergeCell ref="D1:I5"/>
  </mergeCells>
  <phoneticPr fontId="8" type="noConversion"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EC44D-0BAA-4092-B876-5A53D34C8E74}">
  <sheetPr>
    <tabColor rgb="FF7030A0"/>
  </sheetPr>
  <dimension ref="B1:Y89"/>
  <sheetViews>
    <sheetView showGridLines="0" tabSelected="1" topLeftCell="A42" zoomScale="50" zoomScaleNormal="65" workbookViewId="0">
      <selection activeCell="R88" sqref="R88"/>
    </sheetView>
  </sheetViews>
  <sheetFormatPr baseColWidth="10" defaultRowHeight="14.4" x14ac:dyDescent="0.3"/>
  <cols>
    <col min="2" max="2" width="14.109375" style="15" hidden="1" customWidth="1"/>
    <col min="3" max="3" width="6.33203125" style="15" hidden="1" customWidth="1"/>
    <col min="4" max="4" width="13.5546875" style="15" hidden="1" customWidth="1"/>
    <col min="6" max="6" width="43.33203125" style="15" bestFit="1" customWidth="1"/>
    <col min="7" max="7" width="28.6640625" style="15" bestFit="1" customWidth="1"/>
    <col min="8" max="8" width="14.88671875" style="15" customWidth="1"/>
    <col min="9" max="9" width="20" style="15" customWidth="1"/>
    <col min="10" max="10" width="9.5546875" style="15" customWidth="1"/>
    <col min="11" max="11" width="57.33203125" style="28" bestFit="1" customWidth="1"/>
    <col min="12" max="12" width="28.33203125" style="28" bestFit="1" customWidth="1"/>
    <col min="13" max="13" width="11.33203125" style="28" customWidth="1"/>
    <col min="14" max="14" width="23.109375" style="15" customWidth="1"/>
    <col min="15" max="15" width="26.21875" style="15" customWidth="1"/>
    <col min="16" max="16" width="17.6640625" style="15" customWidth="1"/>
    <col min="17" max="17" width="17.6640625" style="186" customWidth="1"/>
    <col min="18" max="18" width="22.44140625" style="30" customWidth="1"/>
    <col min="19" max="19" width="15.109375" style="29" bestFit="1" customWidth="1"/>
    <col min="20" max="20" width="11.44140625" style="29"/>
    <col min="22" max="22" width="30" bestFit="1" customWidth="1"/>
    <col min="23" max="23" width="16.33203125" bestFit="1" customWidth="1"/>
    <col min="24" max="24" width="18.6640625" bestFit="1" customWidth="1"/>
  </cols>
  <sheetData>
    <row r="1" spans="2:25" ht="24" x14ac:dyDescent="0.3">
      <c r="B1" s="120" t="s">
        <v>610</v>
      </c>
      <c r="C1" s="120" t="s">
        <v>603</v>
      </c>
      <c r="D1" s="120" t="s">
        <v>604</v>
      </c>
      <c r="F1" s="249" t="s">
        <v>605</v>
      </c>
      <c r="G1" s="120" t="s">
        <v>376</v>
      </c>
      <c r="H1" s="120" t="s">
        <v>583</v>
      </c>
      <c r="I1" s="120" t="s">
        <v>611</v>
      </c>
      <c r="J1" s="120" t="s">
        <v>606</v>
      </c>
      <c r="K1" s="120" t="s">
        <v>62</v>
      </c>
      <c r="L1" s="120" t="s">
        <v>253</v>
      </c>
      <c r="M1" s="120" t="s">
        <v>63</v>
      </c>
      <c r="N1" s="120" t="s">
        <v>599</v>
      </c>
      <c r="O1" s="120" t="s">
        <v>607</v>
      </c>
      <c r="P1" s="120" t="s">
        <v>608</v>
      </c>
      <c r="Q1" s="185" t="s">
        <v>375</v>
      </c>
      <c r="R1" s="120" t="s">
        <v>609</v>
      </c>
      <c r="S1" s="29" t="s">
        <v>50</v>
      </c>
      <c r="T1" s="127" t="s">
        <v>628</v>
      </c>
    </row>
    <row r="2" spans="2:25" x14ac:dyDescent="0.3">
      <c r="B2" s="15" t="s">
        <v>377</v>
      </c>
      <c r="C2" s="15" t="s">
        <v>592</v>
      </c>
      <c r="D2" s="15" t="s">
        <v>243</v>
      </c>
      <c r="F2" s="247" t="str">
        <f>+Facturas!Q67</f>
        <v>Cuenta 34: Activo intangible</v>
      </c>
      <c r="G2" s="15" t="s">
        <v>593</v>
      </c>
      <c r="H2" s="15">
        <f t="shared" ref="H2:H24" si="0">+VLOOKUP(G2,$V$14:$Y$16,2,FALSE)</f>
        <v>20547121628</v>
      </c>
      <c r="I2" s="15" t="str">
        <f t="shared" ref="I2:I24" si="1">+VLOOKUP(G2,$V$14:$Y$16,3,FALSE)</f>
        <v>194-2097981-0-25</v>
      </c>
      <c r="J2" s="15" t="str">
        <f t="shared" ref="J2:J32" si="2">+VLOOKUP(G2,$V$14:$Y$16,4)</f>
        <v>BCP</v>
      </c>
      <c r="K2" s="126" t="str">
        <f>+CONCATENATE(Facturas!J67," (",Facturas!S67, ")")</f>
        <v>Modificación del módulo de contratos (GDH)</v>
      </c>
      <c r="L2" s="124" t="str">
        <f>+Facturas!L67</f>
        <v>Cuota 2/2 - 50%</v>
      </c>
      <c r="M2" s="28" t="s">
        <v>615</v>
      </c>
      <c r="N2" s="15">
        <v>1</v>
      </c>
      <c r="O2" s="125">
        <f>+Facturas!P67</f>
        <v>4640</v>
      </c>
      <c r="P2" s="15">
        <f t="shared" ref="P2:P16" si="3">N2*O2</f>
        <v>4640</v>
      </c>
      <c r="R2" s="30" t="s">
        <v>612</v>
      </c>
      <c r="S2" s="29" t="s">
        <v>1052</v>
      </c>
      <c r="T2" s="83">
        <v>45177</v>
      </c>
    </row>
    <row r="3" spans="2:25" x14ac:dyDescent="0.3">
      <c r="B3" s="15" t="s">
        <v>377</v>
      </c>
      <c r="C3" s="15" t="s">
        <v>592</v>
      </c>
      <c r="D3" s="15" t="s">
        <v>243</v>
      </c>
      <c r="F3" s="247" t="str">
        <f>+Facturas!Q68</f>
        <v>Cuenta 34: Activo intangible</v>
      </c>
      <c r="G3" s="15" t="s">
        <v>593</v>
      </c>
      <c r="H3" s="15">
        <f t="shared" si="0"/>
        <v>20547121628</v>
      </c>
      <c r="I3" s="15" t="str">
        <f t="shared" si="1"/>
        <v>194-2097981-0-25</v>
      </c>
      <c r="J3" s="15" t="str">
        <f t="shared" si="2"/>
        <v>BCP</v>
      </c>
      <c r="K3" s="126" t="str">
        <f>+CONCATENATE(Facturas!J68," (",Facturas!S68, ")")</f>
        <v>Portal del cliente (SAC&amp;Parque)</v>
      </c>
      <c r="L3" s="124" t="str">
        <f>+Facturas!L68</f>
        <v>Cuota 2/3 -35%</v>
      </c>
      <c r="M3" s="28" t="s">
        <v>615</v>
      </c>
      <c r="N3" s="15">
        <v>1</v>
      </c>
      <c r="O3" s="125">
        <f>+Facturas!P68</f>
        <v>4795</v>
      </c>
      <c r="P3" s="15">
        <f t="shared" si="3"/>
        <v>4795</v>
      </c>
      <c r="R3" s="30" t="s">
        <v>612</v>
      </c>
      <c r="S3" s="29" t="s">
        <v>1052</v>
      </c>
      <c r="T3" s="83">
        <v>45177</v>
      </c>
    </row>
    <row r="4" spans="2:25" x14ac:dyDescent="0.3">
      <c r="B4" s="15" t="s">
        <v>377</v>
      </c>
      <c r="C4" s="15" t="s">
        <v>592</v>
      </c>
      <c r="D4" s="15" t="s">
        <v>243</v>
      </c>
      <c r="F4" s="247" t="str">
        <f>+Facturas!Q69</f>
        <v>Cuenta 34: Activo intangible</v>
      </c>
      <c r="G4" s="15" t="s">
        <v>593</v>
      </c>
      <c r="H4" s="15">
        <f t="shared" si="0"/>
        <v>20547121628</v>
      </c>
      <c r="I4" s="15" t="str">
        <f t="shared" si="1"/>
        <v>194-2097981-0-25</v>
      </c>
      <c r="J4" s="15" t="str">
        <f t="shared" si="2"/>
        <v>BCP</v>
      </c>
      <c r="K4" s="126" t="str">
        <f>+CONCATENATE(Facturas!J69," (",Facturas!S69, ")")</f>
        <v>Nueva forma de pago - SG5 (Comercial)</v>
      </c>
      <c r="L4" s="124" t="str">
        <f>+Facturas!L69</f>
        <v>Cuota 1/2 - 50% (Oct)</v>
      </c>
      <c r="M4" s="28" t="s">
        <v>615</v>
      </c>
      <c r="N4" s="15">
        <v>1</v>
      </c>
      <c r="O4" s="125">
        <f>+Facturas!P69</f>
        <v>4840</v>
      </c>
      <c r="P4" s="15">
        <f t="shared" si="3"/>
        <v>4840</v>
      </c>
      <c r="R4" s="30" t="s">
        <v>612</v>
      </c>
      <c r="S4" s="29" t="s">
        <v>1052</v>
      </c>
      <c r="T4" s="83">
        <v>45177</v>
      </c>
    </row>
    <row r="5" spans="2:25" x14ac:dyDescent="0.3">
      <c r="B5" s="15" t="s">
        <v>377</v>
      </c>
      <c r="C5" s="15" t="s">
        <v>592</v>
      </c>
      <c r="D5" s="15" t="s">
        <v>243</v>
      </c>
      <c r="F5" s="247" t="str">
        <f>+Facturas!Q70</f>
        <v>Cuenta 34: Activo intangible</v>
      </c>
      <c r="G5" s="15" t="s">
        <v>593</v>
      </c>
      <c r="H5" s="15">
        <f t="shared" si="0"/>
        <v>20547121628</v>
      </c>
      <c r="I5" s="15" t="str">
        <f t="shared" si="1"/>
        <v>194-2097981-0-25</v>
      </c>
      <c r="J5" s="15" t="str">
        <f t="shared" si="2"/>
        <v>BCP</v>
      </c>
      <c r="K5" s="126" t="str">
        <f>+CONCATENATE(Facturas!J70," (",Facturas!S70, ")")</f>
        <v>Nueva forma de pago - CRM (Comercial)</v>
      </c>
      <c r="L5" s="124" t="str">
        <f>+Facturas!L70</f>
        <v>Cuota única (fin de proyecto)</v>
      </c>
      <c r="M5" s="28" t="s">
        <v>615</v>
      </c>
      <c r="N5" s="15">
        <v>1</v>
      </c>
      <c r="O5" s="125">
        <f>+Facturas!P70</f>
        <v>1170</v>
      </c>
      <c r="P5" s="15">
        <f t="shared" si="3"/>
        <v>1170</v>
      </c>
      <c r="R5" s="30" t="s">
        <v>612</v>
      </c>
      <c r="S5" s="29" t="s">
        <v>1052</v>
      </c>
      <c r="T5" s="83">
        <v>45177</v>
      </c>
    </row>
    <row r="6" spans="2:25" x14ac:dyDescent="0.3">
      <c r="B6" s="15" t="s">
        <v>377</v>
      </c>
      <c r="C6" s="15" t="s">
        <v>592</v>
      </c>
      <c r="D6" s="15" t="s">
        <v>243</v>
      </c>
      <c r="F6" s="247" t="str">
        <f>+Facturas!Q71</f>
        <v>Cuenta 34: Activo intangible</v>
      </c>
      <c r="G6" s="15" t="s">
        <v>593</v>
      </c>
      <c r="H6" s="15">
        <f t="shared" si="0"/>
        <v>20547121628</v>
      </c>
      <c r="I6" s="15" t="str">
        <f t="shared" si="1"/>
        <v>194-2097981-0-25</v>
      </c>
      <c r="J6" s="15" t="str">
        <f t="shared" si="2"/>
        <v>BCP</v>
      </c>
      <c r="K6" s="126" t="str">
        <f>+CONCATENATE(Facturas!J71," (",Facturas!S71, ")")</f>
        <v>Modificación en la distribución de espacios (Operaciones)</v>
      </c>
      <c r="L6" s="124" t="str">
        <f>+Facturas!L71</f>
        <v xml:space="preserve">Cuota 1/2 - 50% </v>
      </c>
      <c r="M6" s="28" t="s">
        <v>615</v>
      </c>
      <c r="N6" s="15">
        <v>1</v>
      </c>
      <c r="O6" s="125">
        <f>+Facturas!P71</f>
        <v>5600</v>
      </c>
      <c r="P6" s="15">
        <f t="shared" si="3"/>
        <v>5600</v>
      </c>
      <c r="R6" s="30" t="s">
        <v>612</v>
      </c>
      <c r="S6" s="29" t="s">
        <v>1052</v>
      </c>
      <c r="T6" s="83">
        <v>45177</v>
      </c>
    </row>
    <row r="7" spans="2:25" ht="28.8" x14ac:dyDescent="0.3">
      <c r="B7" s="15" t="s">
        <v>377</v>
      </c>
      <c r="C7" s="15" t="s">
        <v>592</v>
      </c>
      <c r="D7" s="15" t="s">
        <v>243</v>
      </c>
      <c r="F7" s="247" t="str">
        <f>+Facturas!Q72</f>
        <v>Gasto</v>
      </c>
      <c r="G7" s="15" t="s">
        <v>600</v>
      </c>
      <c r="H7" s="15">
        <f t="shared" si="0"/>
        <v>20539909755</v>
      </c>
      <c r="I7" s="15" t="str">
        <f t="shared" si="1"/>
        <v>570-2362319-0-81</v>
      </c>
      <c r="J7" s="15" t="str">
        <f t="shared" si="2"/>
        <v>BCP</v>
      </c>
      <c r="K7" s="126" t="str">
        <f>+CONCATENATE(Facturas!J72," (",Facturas!S72, ")")</f>
        <v>Mantenimiento ERP Exactus // del 20/10/23 al 20/10/24 (Operaciones)</v>
      </c>
      <c r="L7" s="124" t="str">
        <f>+Facturas!L72</f>
        <v>Cuota única</v>
      </c>
      <c r="M7" s="28" t="s">
        <v>615</v>
      </c>
      <c r="N7" s="15">
        <v>1</v>
      </c>
      <c r="O7" s="125">
        <f>+Facturas!P72</f>
        <v>63080.000000000007</v>
      </c>
      <c r="P7" s="15">
        <f t="shared" si="3"/>
        <v>63080.000000000007</v>
      </c>
      <c r="R7" s="30" t="s">
        <v>602</v>
      </c>
      <c r="S7" s="29" t="s">
        <v>1052</v>
      </c>
      <c r="T7" s="83">
        <v>45177</v>
      </c>
    </row>
    <row r="8" spans="2:25" x14ac:dyDescent="0.3">
      <c r="B8" s="15" t="s">
        <v>377</v>
      </c>
      <c r="C8" s="15" t="s">
        <v>592</v>
      </c>
      <c r="D8" s="137" t="s">
        <v>243</v>
      </c>
      <c r="F8" s="247" t="str">
        <f>+Facturas!Q73</f>
        <v>Gasto</v>
      </c>
      <c r="G8" s="137" t="s">
        <v>593</v>
      </c>
      <c r="H8" s="137">
        <f t="shared" si="0"/>
        <v>20547121628</v>
      </c>
      <c r="I8" s="137" t="str">
        <f t="shared" si="1"/>
        <v>194-2097981-0-25</v>
      </c>
      <c r="J8" s="137" t="str">
        <f t="shared" si="2"/>
        <v>BCP</v>
      </c>
      <c r="K8" s="138" t="str">
        <f>+CONCATENATE(Facturas!J73," (",Facturas!S73, ")")</f>
        <v>Mantenimiento SG5 // Feb 23 - Ene 24 (Operaciones)</v>
      </c>
      <c r="L8" s="124" t="str">
        <f>+Facturas!L73</f>
        <v>Cuota 10/12 (Nov)</v>
      </c>
      <c r="M8" s="139" t="s">
        <v>615</v>
      </c>
      <c r="N8" s="137">
        <v>1</v>
      </c>
      <c r="O8" s="125">
        <f>+Facturas!P73</f>
        <v>5100</v>
      </c>
      <c r="P8" s="137">
        <f t="shared" si="3"/>
        <v>5100</v>
      </c>
      <c r="Q8" s="187"/>
      <c r="R8" s="140" t="s">
        <v>612</v>
      </c>
      <c r="S8" s="29" t="s">
        <v>1052</v>
      </c>
      <c r="T8" s="83">
        <v>45195</v>
      </c>
    </row>
    <row r="9" spans="2:25" x14ac:dyDescent="0.3">
      <c r="B9" s="15" t="s">
        <v>377</v>
      </c>
      <c r="C9" s="15" t="s">
        <v>592</v>
      </c>
      <c r="D9" s="137" t="s">
        <v>243</v>
      </c>
      <c r="F9" s="247" t="str">
        <f>+Facturas!Q74</f>
        <v>Cuenta 34: Activo intangible</v>
      </c>
      <c r="G9" s="137" t="s">
        <v>593</v>
      </c>
      <c r="H9" s="137">
        <f t="shared" si="0"/>
        <v>20547121628</v>
      </c>
      <c r="I9" s="137" t="str">
        <f t="shared" si="1"/>
        <v>194-2097981-0-25</v>
      </c>
      <c r="J9" s="137" t="str">
        <f t="shared" si="2"/>
        <v>BCP</v>
      </c>
      <c r="K9" s="138" t="str">
        <f>+CONCATENATE(Facturas!J74," (",Facturas!S74, ")")</f>
        <v>Portal del cliente (SAC&amp;Parque)</v>
      </c>
      <c r="L9" s="124" t="str">
        <f>+Facturas!L74</f>
        <v>Cuota 3/3- 35%</v>
      </c>
      <c r="M9" s="139" t="s">
        <v>615</v>
      </c>
      <c r="N9" s="137">
        <v>1</v>
      </c>
      <c r="O9" s="125">
        <f>+Facturas!P74</f>
        <v>4795</v>
      </c>
      <c r="P9" s="137">
        <f t="shared" si="3"/>
        <v>4795</v>
      </c>
      <c r="Q9" s="187"/>
      <c r="R9" s="140" t="s">
        <v>612</v>
      </c>
      <c r="S9" s="29" t="s">
        <v>1052</v>
      </c>
      <c r="T9" s="83">
        <v>45195</v>
      </c>
    </row>
    <row r="10" spans="2:25" x14ac:dyDescent="0.3">
      <c r="B10" s="15" t="s">
        <v>377</v>
      </c>
      <c r="C10" s="15" t="s">
        <v>592</v>
      </c>
      <c r="D10" s="137" t="s">
        <v>243</v>
      </c>
      <c r="F10" s="247" t="str">
        <f>+Facturas!Q75</f>
        <v>Cuenta 34: Activo intangible</v>
      </c>
      <c r="G10" s="137" t="s">
        <v>649</v>
      </c>
      <c r="H10" s="137">
        <f t="shared" si="0"/>
        <v>20524719585</v>
      </c>
      <c r="I10" s="137" t="str">
        <f t="shared" si="1"/>
        <v>194-20176075-0-72</v>
      </c>
      <c r="J10" s="137" t="str">
        <f t="shared" si="2"/>
        <v>BCP</v>
      </c>
      <c r="K10" s="138" t="str">
        <f>+CONCATENATE(Facturas!J75," (",Facturas!S75, ")")</f>
        <v>Nueva forma de pago - SG5 (Comercial)</v>
      </c>
      <c r="L10" s="124" t="str">
        <f>+Facturas!L75</f>
        <v>Cuota 2/2 - 50% (Nov)</v>
      </c>
      <c r="M10" s="139" t="s">
        <v>615</v>
      </c>
      <c r="N10" s="137">
        <v>1</v>
      </c>
      <c r="O10" s="125">
        <f>+Facturas!P75</f>
        <v>4840</v>
      </c>
      <c r="P10" s="137">
        <f t="shared" si="3"/>
        <v>4840</v>
      </c>
      <c r="Q10" s="187"/>
      <c r="R10" s="140" t="s">
        <v>612</v>
      </c>
      <c r="S10" s="29" t="s">
        <v>1052</v>
      </c>
      <c r="T10" s="83">
        <v>45195</v>
      </c>
    </row>
    <row r="11" spans="2:25" x14ac:dyDescent="0.3">
      <c r="B11" s="15" t="s">
        <v>377</v>
      </c>
      <c r="C11" s="15" t="s">
        <v>592</v>
      </c>
      <c r="D11" s="15" t="s">
        <v>243</v>
      </c>
      <c r="F11" s="247" t="str">
        <f>+Facturas!Q76</f>
        <v>Cuenta 34: Activo intangible</v>
      </c>
      <c r="G11" s="15" t="s">
        <v>593</v>
      </c>
      <c r="H11" s="15">
        <f t="shared" si="0"/>
        <v>20547121628</v>
      </c>
      <c r="I11" s="15" t="str">
        <f t="shared" si="1"/>
        <v>194-2097981-0-25</v>
      </c>
      <c r="J11" s="15" t="str">
        <f t="shared" si="2"/>
        <v>BCP</v>
      </c>
      <c r="K11" s="138" t="str">
        <f>+CONCATENATE(Facturas!J76," (",Facturas!S76, ")")</f>
        <v>Implementación de las NIIF (Adm&amp;Fin)</v>
      </c>
      <c r="L11" s="124" t="str">
        <f>+Facturas!L76</f>
        <v xml:space="preserve">Cuota 1/2 - 50% </v>
      </c>
      <c r="M11" s="139" t="s">
        <v>615</v>
      </c>
      <c r="N11" s="137">
        <v>1</v>
      </c>
      <c r="O11" s="125">
        <f>+Facturas!P76</f>
        <v>7150</v>
      </c>
      <c r="P11" s="137">
        <f t="shared" si="3"/>
        <v>7150</v>
      </c>
      <c r="Q11" s="187"/>
      <c r="R11" s="140" t="s">
        <v>612</v>
      </c>
      <c r="S11" s="29" t="s">
        <v>1052</v>
      </c>
    </row>
    <row r="12" spans="2:25" x14ac:dyDescent="0.3">
      <c r="B12" s="15" t="s">
        <v>377</v>
      </c>
      <c r="C12" s="15" t="s">
        <v>592</v>
      </c>
      <c r="D12" s="15" t="s">
        <v>243</v>
      </c>
      <c r="F12" s="247" t="str">
        <f>+Facturas!Q77</f>
        <v>Cuenta 34: Activo intangible</v>
      </c>
      <c r="G12" s="15" t="s">
        <v>593</v>
      </c>
      <c r="H12" s="15">
        <f t="shared" si="0"/>
        <v>20547121628</v>
      </c>
      <c r="I12" s="15" t="str">
        <f t="shared" si="1"/>
        <v>194-2097981-0-25</v>
      </c>
      <c r="J12" s="15" t="str">
        <f t="shared" si="2"/>
        <v>BCP</v>
      </c>
      <c r="K12" s="138" t="str">
        <f>+CONCATENATE(Facturas!J77," (",Facturas!S77, ")")</f>
        <v>Portal del cliente-parte 2 (SAC&amp;Parque)</v>
      </c>
      <c r="L12" s="124" t="str">
        <f>+Facturas!L77</f>
        <v>Cuota 1/3 - 30%. Parte 2</v>
      </c>
      <c r="M12" s="139" t="s">
        <v>615</v>
      </c>
      <c r="N12" s="137">
        <v>1</v>
      </c>
      <c r="O12" s="125">
        <f>+Facturas!P77</f>
        <v>3000</v>
      </c>
      <c r="P12" s="137">
        <f t="shared" si="3"/>
        <v>3000</v>
      </c>
      <c r="Q12" s="187"/>
      <c r="R12" s="140" t="s">
        <v>612</v>
      </c>
      <c r="S12" s="29" t="s">
        <v>1052</v>
      </c>
    </row>
    <row r="13" spans="2:25" ht="43.2" x14ac:dyDescent="0.3">
      <c r="B13" s="15" t="s">
        <v>377</v>
      </c>
      <c r="C13" s="15" t="s">
        <v>592</v>
      </c>
      <c r="D13" s="15" t="s">
        <v>243</v>
      </c>
      <c r="F13" s="247" t="str">
        <f>+Facturas!Q78</f>
        <v>Gasto</v>
      </c>
      <c r="G13" s="15" t="s">
        <v>593</v>
      </c>
      <c r="H13" s="15">
        <f t="shared" si="0"/>
        <v>20547121628</v>
      </c>
      <c r="I13" s="15" t="str">
        <f t="shared" si="1"/>
        <v>194-2097981-0-25</v>
      </c>
      <c r="J13" s="15" t="str">
        <f t="shared" si="2"/>
        <v>BCP</v>
      </c>
      <c r="K13" s="138" t="str">
        <f>+CONCATENATE(Facturas!J78," (",Facturas!S78, ")")</f>
        <v>Mantenimiento SG5 // Feb 23 - Ene 24 (Operaciones)</v>
      </c>
      <c r="L13" s="124" t="str">
        <f>+Facturas!L78</f>
        <v>Cuota 11/12 (Dic)</v>
      </c>
      <c r="M13" s="139" t="s">
        <v>615</v>
      </c>
      <c r="N13" s="137">
        <v>1</v>
      </c>
      <c r="O13" s="125">
        <f>+Facturas!P78</f>
        <v>5100</v>
      </c>
      <c r="P13" s="137">
        <f t="shared" si="3"/>
        <v>5100</v>
      </c>
      <c r="Q13" s="187"/>
      <c r="R13" s="160" t="s">
        <v>612</v>
      </c>
      <c r="S13" s="29" t="s">
        <v>1052</v>
      </c>
      <c r="V13" s="119" t="s">
        <v>584</v>
      </c>
      <c r="W13" s="119" t="s">
        <v>583</v>
      </c>
      <c r="X13" s="119" t="s">
        <v>585</v>
      </c>
      <c r="Y13" s="119" t="s">
        <v>586</v>
      </c>
    </row>
    <row r="14" spans="2:25" x14ac:dyDescent="0.3">
      <c r="B14" s="3" t="s">
        <v>377</v>
      </c>
      <c r="C14" s="3" t="s">
        <v>592</v>
      </c>
      <c r="D14" s="3" t="s">
        <v>243</v>
      </c>
      <c r="F14" s="247" t="str">
        <f>+Facturas!Q79</f>
        <v>Cuenta 34: Activo intangible</v>
      </c>
      <c r="G14" s="3" t="s">
        <v>593</v>
      </c>
      <c r="H14" s="3">
        <f t="shared" si="0"/>
        <v>20547121628</v>
      </c>
      <c r="I14" s="3" t="str">
        <f t="shared" si="1"/>
        <v>194-2097981-0-25</v>
      </c>
      <c r="J14" s="3" t="str">
        <f t="shared" si="2"/>
        <v>BCP</v>
      </c>
      <c r="K14" s="158" t="str">
        <f>+CONCATENATE(Facturas!J79," (",Facturas!S79, ")")</f>
        <v>Modificación en la distribución de espacios (Operaciones)</v>
      </c>
      <c r="L14" s="124" t="str">
        <f>+Facturas!L79</f>
        <v xml:space="preserve">Cuota 2/2 - 50% </v>
      </c>
      <c r="M14" s="159" t="s">
        <v>615</v>
      </c>
      <c r="N14" s="157">
        <v>1</v>
      </c>
      <c r="O14" s="125">
        <f>+Facturas!P79</f>
        <v>5600</v>
      </c>
      <c r="P14" s="161">
        <f>N14*O14</f>
        <v>5600</v>
      </c>
      <c r="Q14" s="188">
        <f>+Facturas!D79</f>
        <v>45505</v>
      </c>
      <c r="R14" s="160" t="s">
        <v>612</v>
      </c>
      <c r="S14" s="29" t="s">
        <v>1052</v>
      </c>
      <c r="V14" s="30" t="s">
        <v>593</v>
      </c>
      <c r="W14" s="30">
        <v>20547121628</v>
      </c>
      <c r="X14" s="30" t="s">
        <v>595</v>
      </c>
      <c r="Y14" s="30" t="s">
        <v>594</v>
      </c>
    </row>
    <row r="15" spans="2:25" x14ac:dyDescent="0.3">
      <c r="B15" s="3" t="s">
        <v>377</v>
      </c>
      <c r="C15" s="3" t="s">
        <v>592</v>
      </c>
      <c r="D15" s="3" t="s">
        <v>243</v>
      </c>
      <c r="F15" s="247" t="str">
        <f>+Facturas!Q80</f>
        <v>Cuenta 34: Activo intangible</v>
      </c>
      <c r="G15" s="3" t="s">
        <v>593</v>
      </c>
      <c r="H15" s="3">
        <f t="shared" si="0"/>
        <v>20547121628</v>
      </c>
      <c r="I15" s="3" t="str">
        <f t="shared" si="1"/>
        <v>194-2097981-0-25</v>
      </c>
      <c r="J15" s="3" t="str">
        <f t="shared" si="2"/>
        <v>BCP</v>
      </c>
      <c r="K15" s="158" t="str">
        <f>+CONCATENATE(Facturas!J80," (",Facturas!S80, ")")</f>
        <v>Portal del cliente-parte 2 (SAC&amp;Parque)</v>
      </c>
      <c r="L15" s="124" t="str">
        <f>+Facturas!L80</f>
        <v>Cuota 2/3 - 35%. Parte 2</v>
      </c>
      <c r="M15" s="159" t="s">
        <v>615</v>
      </c>
      <c r="N15" s="157">
        <v>1</v>
      </c>
      <c r="O15" s="125">
        <f>+Facturas!P80</f>
        <v>3500</v>
      </c>
      <c r="P15" s="157">
        <f t="shared" si="3"/>
        <v>3500</v>
      </c>
      <c r="Q15" s="188">
        <f>+Facturas!D80</f>
        <v>45261</v>
      </c>
      <c r="R15" s="160" t="s">
        <v>612</v>
      </c>
      <c r="S15" s="29" t="s">
        <v>1052</v>
      </c>
      <c r="V15" s="30" t="s">
        <v>649</v>
      </c>
      <c r="W15" s="30">
        <v>20524719585</v>
      </c>
      <c r="X15" s="30" t="s">
        <v>598</v>
      </c>
      <c r="Y15" s="30" t="s">
        <v>594</v>
      </c>
    </row>
    <row r="16" spans="2:25" x14ac:dyDescent="0.3">
      <c r="B16" s="3" t="s">
        <v>377</v>
      </c>
      <c r="C16" s="3" t="s">
        <v>592</v>
      </c>
      <c r="D16" s="3" t="s">
        <v>243</v>
      </c>
      <c r="F16" s="247" t="str">
        <f>+Facturas!Q81</f>
        <v>Cuenta 34: Activo intangible</v>
      </c>
      <c r="G16" s="3" t="s">
        <v>593</v>
      </c>
      <c r="H16" s="3">
        <f t="shared" si="0"/>
        <v>20547121628</v>
      </c>
      <c r="I16" s="3" t="str">
        <f t="shared" si="1"/>
        <v>194-2097981-0-25</v>
      </c>
      <c r="J16" s="3" t="str">
        <f t="shared" si="2"/>
        <v>BCP</v>
      </c>
      <c r="K16" s="158" t="str">
        <f>+CONCATENATE(Facturas!J81," (",Facturas!S81, ")")</f>
        <v>Tratamiento de datos- SG5 (Operaciones)</v>
      </c>
      <c r="L16" s="124" t="str">
        <f>+Facturas!L81</f>
        <v xml:space="preserve">Cuota 1/2 - 50% </v>
      </c>
      <c r="M16" s="159" t="s">
        <v>615</v>
      </c>
      <c r="N16" s="157">
        <v>1</v>
      </c>
      <c r="O16" s="125">
        <f>+Facturas!P81</f>
        <v>5550</v>
      </c>
      <c r="P16" s="157">
        <f t="shared" si="3"/>
        <v>5550</v>
      </c>
      <c r="Q16" s="188">
        <f>+Facturas!D81</f>
        <v>45261</v>
      </c>
      <c r="R16" s="160" t="s">
        <v>612</v>
      </c>
      <c r="S16" s="29" t="s">
        <v>1052</v>
      </c>
      <c r="V16" s="30" t="s">
        <v>600</v>
      </c>
      <c r="W16" s="30">
        <v>20539909755</v>
      </c>
      <c r="X16" s="30" t="s">
        <v>601</v>
      </c>
      <c r="Y16" s="30" t="s">
        <v>594</v>
      </c>
    </row>
    <row r="17" spans="2:25" x14ac:dyDescent="0.3">
      <c r="B17" s="3" t="s">
        <v>377</v>
      </c>
      <c r="C17" s="3" t="s">
        <v>592</v>
      </c>
      <c r="D17" s="3" t="s">
        <v>243</v>
      </c>
      <c r="F17" s="247" t="str">
        <f>+Facturas!Q82</f>
        <v>Cuenta 34: Activo intangible</v>
      </c>
      <c r="G17" s="3" t="s">
        <v>593</v>
      </c>
      <c r="H17" s="3">
        <f t="shared" si="0"/>
        <v>20547121628</v>
      </c>
      <c r="I17" s="3" t="str">
        <f t="shared" si="1"/>
        <v>194-2097981-0-25</v>
      </c>
      <c r="J17" s="3" t="str">
        <f t="shared" si="2"/>
        <v>BCP</v>
      </c>
      <c r="K17" s="158" t="str">
        <f>+CONCATENATE(Facturas!J82," (",Facturas!S82, ")")</f>
        <v>Contratos digitales - Parte 2 (Operaciones)</v>
      </c>
      <c r="L17" s="124" t="str">
        <f>+Facturas!L82</f>
        <v xml:space="preserve">Cuota 1/2 - 50% </v>
      </c>
      <c r="M17" s="159" t="s">
        <v>615</v>
      </c>
      <c r="N17" s="157">
        <v>1</v>
      </c>
      <c r="O17" s="125">
        <f>+Facturas!P82</f>
        <v>6260</v>
      </c>
      <c r="P17" s="157">
        <f t="shared" ref="P17:P18" si="4">N17*O17</f>
        <v>6260</v>
      </c>
      <c r="Q17" s="188">
        <f>+Facturas!D82</f>
        <v>45261</v>
      </c>
      <c r="R17" s="160" t="s">
        <v>612</v>
      </c>
      <c r="S17" s="29" t="s">
        <v>1052</v>
      </c>
      <c r="V17" s="30" t="s">
        <v>716</v>
      </c>
      <c r="W17" s="30">
        <v>20603038160</v>
      </c>
      <c r="X17" s="30" t="s">
        <v>717</v>
      </c>
      <c r="Y17" s="30" t="s">
        <v>594</v>
      </c>
    </row>
    <row r="18" spans="2:25" x14ac:dyDescent="0.3">
      <c r="B18" s="3" t="s">
        <v>377</v>
      </c>
      <c r="C18" s="3" t="s">
        <v>592</v>
      </c>
      <c r="D18" s="3" t="s">
        <v>243</v>
      </c>
      <c r="F18" s="247" t="str">
        <f>+Facturas!Q83</f>
        <v>Cuenta 34: Activo intangible</v>
      </c>
      <c r="G18" s="3" t="s">
        <v>593</v>
      </c>
      <c r="H18" s="3">
        <f t="shared" si="0"/>
        <v>20547121628</v>
      </c>
      <c r="I18" s="3" t="str">
        <f t="shared" si="1"/>
        <v>194-2097981-0-25</v>
      </c>
      <c r="J18" s="3" t="str">
        <f t="shared" si="2"/>
        <v>BCP</v>
      </c>
      <c r="K18" s="158" t="str">
        <f>+CONCATENATE(Facturas!J83," (",Facturas!S83, ")")</f>
        <v>Carencia por sede (Operaciones)</v>
      </c>
      <c r="L18" s="124" t="str">
        <f>+Facturas!L83</f>
        <v xml:space="preserve">Cuota 1/2 - 50% </v>
      </c>
      <c r="M18" s="159" t="s">
        <v>615</v>
      </c>
      <c r="N18" s="157">
        <v>1</v>
      </c>
      <c r="O18" s="125">
        <f>+Facturas!P83</f>
        <v>1850</v>
      </c>
      <c r="P18" s="157">
        <f t="shared" si="4"/>
        <v>1850</v>
      </c>
      <c r="Q18" s="188">
        <f>+Facturas!D83</f>
        <v>45261</v>
      </c>
      <c r="R18" s="160" t="s">
        <v>612</v>
      </c>
      <c r="S18" s="29" t="s">
        <v>1052</v>
      </c>
      <c r="V18" s="30" t="s">
        <v>701</v>
      </c>
      <c r="W18" s="73">
        <v>20493117531</v>
      </c>
      <c r="X18" s="73" t="s">
        <v>733</v>
      </c>
      <c r="Y18" s="73" t="s">
        <v>594</v>
      </c>
    </row>
    <row r="19" spans="2:25" x14ac:dyDescent="0.3">
      <c r="B19" s="3" t="s">
        <v>377</v>
      </c>
      <c r="C19" s="3" t="s">
        <v>592</v>
      </c>
      <c r="D19" s="3" t="s">
        <v>243</v>
      </c>
      <c r="F19" s="247" t="str">
        <f>+Facturas!Q84</f>
        <v>Cuenta 34: Activo intangible</v>
      </c>
      <c r="G19" s="3" t="s">
        <v>593</v>
      </c>
      <c r="H19" s="3">
        <f t="shared" si="0"/>
        <v>20547121628</v>
      </c>
      <c r="I19" s="3" t="str">
        <f t="shared" si="1"/>
        <v>194-2097981-0-25</v>
      </c>
      <c r="J19" s="3" t="str">
        <f t="shared" si="2"/>
        <v>BCP</v>
      </c>
      <c r="K19" s="158" t="str">
        <f>+CONCATENATE(Facturas!J84," (",Facturas!S84, ")")</f>
        <v>Modificación proceso de firma (Operaciones)</v>
      </c>
      <c r="L19" s="124" t="str">
        <f>+Facturas!L84</f>
        <v xml:space="preserve">Cuota 1/2 - 50% </v>
      </c>
      <c r="M19" s="159" t="s">
        <v>615</v>
      </c>
      <c r="N19" s="157">
        <v>1</v>
      </c>
      <c r="O19" s="125">
        <f>+Facturas!P84</f>
        <v>8715</v>
      </c>
      <c r="P19" s="161">
        <f>N19*O19</f>
        <v>8715</v>
      </c>
      <c r="Q19" s="188">
        <f>+Facturas!D84</f>
        <v>45261</v>
      </c>
      <c r="R19" s="160" t="s">
        <v>612</v>
      </c>
      <c r="S19" s="29" t="s">
        <v>1052</v>
      </c>
    </row>
    <row r="20" spans="2:25" x14ac:dyDescent="0.3">
      <c r="B20" s="3" t="s">
        <v>377</v>
      </c>
      <c r="C20" s="3" t="s">
        <v>592</v>
      </c>
      <c r="D20" s="3" t="s">
        <v>243</v>
      </c>
      <c r="F20" s="247" t="str">
        <f>+Facturas!Q85</f>
        <v>Cuenta 34: Activo intangible</v>
      </c>
      <c r="G20" s="3" t="s">
        <v>593</v>
      </c>
      <c r="H20" s="3">
        <f t="shared" si="0"/>
        <v>20547121628</v>
      </c>
      <c r="I20" s="3" t="str">
        <f t="shared" si="1"/>
        <v>194-2097981-0-25</v>
      </c>
      <c r="J20" s="3" t="str">
        <f t="shared" si="2"/>
        <v>BCP</v>
      </c>
      <c r="K20" s="158" t="str">
        <f>+CONCATENATE(Facturas!J85," (",Facturas!S85, ")")</f>
        <v>Implementación sede Arequipa en  CRM (Operaciones)</v>
      </c>
      <c r="L20" s="124" t="str">
        <f>+Facturas!L85</f>
        <v>Cuota única</v>
      </c>
      <c r="M20" s="159" t="s">
        <v>615</v>
      </c>
      <c r="N20" s="157">
        <v>1</v>
      </c>
      <c r="O20" s="125">
        <f>+Facturas!P85</f>
        <v>2210</v>
      </c>
      <c r="P20" s="157">
        <f t="shared" ref="P20:P21" si="5">N20*O20</f>
        <v>2210</v>
      </c>
      <c r="Q20" s="188">
        <f>+Facturas!D85</f>
        <v>45261</v>
      </c>
      <c r="R20" s="160" t="s">
        <v>612</v>
      </c>
      <c r="S20" s="29" t="s">
        <v>1052</v>
      </c>
    </row>
    <row r="21" spans="2:25" x14ac:dyDescent="0.3">
      <c r="B21" s="3" t="s">
        <v>377</v>
      </c>
      <c r="C21" s="3" t="s">
        <v>592</v>
      </c>
      <c r="D21" s="3" t="s">
        <v>243</v>
      </c>
      <c r="F21" s="247" t="str">
        <f>+Facturas!Q86</f>
        <v>Cuenta 34: Activo intangible</v>
      </c>
      <c r="G21" s="3" t="s">
        <v>593</v>
      </c>
      <c r="H21" s="3">
        <f t="shared" si="0"/>
        <v>20547121628</v>
      </c>
      <c r="I21" s="3" t="str">
        <f t="shared" si="1"/>
        <v>194-2097981-0-25</v>
      </c>
      <c r="J21" s="3" t="str">
        <f t="shared" si="2"/>
        <v>BCP</v>
      </c>
      <c r="K21" s="158" t="str">
        <f>+CONCATENATE(Facturas!J86," (",Facturas!S86, ")")</f>
        <v>Implementación de las NIIF (Adm&amp;Fin)</v>
      </c>
      <c r="L21" s="124" t="str">
        <f>+Facturas!L86</f>
        <v xml:space="preserve">Cuota 2/2 - 50% </v>
      </c>
      <c r="M21" s="159" t="s">
        <v>615</v>
      </c>
      <c r="N21" s="157">
        <v>1</v>
      </c>
      <c r="O21" s="125">
        <f>+Facturas!P86</f>
        <v>7150</v>
      </c>
      <c r="P21" s="157">
        <f t="shared" si="5"/>
        <v>7150</v>
      </c>
      <c r="Q21" s="188">
        <f>+Facturas!D86</f>
        <v>45505</v>
      </c>
      <c r="R21" s="160" t="s">
        <v>612</v>
      </c>
      <c r="S21" s="29" t="s">
        <v>1052</v>
      </c>
    </row>
    <row r="22" spans="2:25" x14ac:dyDescent="0.3">
      <c r="B22" s="3" t="s">
        <v>377</v>
      </c>
      <c r="C22" s="3" t="s">
        <v>592</v>
      </c>
      <c r="D22" s="3" t="s">
        <v>243</v>
      </c>
      <c r="F22" s="247" t="str">
        <f>+Facturas!Q87</f>
        <v>Cuenta 34: Activo intangible</v>
      </c>
      <c r="G22" s="3" t="s">
        <v>593</v>
      </c>
      <c r="H22" s="3">
        <f t="shared" si="0"/>
        <v>20547121628</v>
      </c>
      <c r="I22" s="3" t="str">
        <f t="shared" si="1"/>
        <v>194-2097981-0-25</v>
      </c>
      <c r="J22" s="3" t="str">
        <f t="shared" si="2"/>
        <v>BCP</v>
      </c>
      <c r="K22" s="158" t="str">
        <f>+CONCATENATE(Facturas!J87," (",Facturas!S87, ")")</f>
        <v>Portal del cliente-parte 2 (SAC&amp;Parque)</v>
      </c>
      <c r="L22" s="124" t="str">
        <f>+Facturas!L87</f>
        <v>Cuota 3/3 -  35%</v>
      </c>
      <c r="M22" s="159" t="s">
        <v>615</v>
      </c>
      <c r="N22" s="157">
        <v>1</v>
      </c>
      <c r="O22" s="125">
        <f>+Facturas!P87</f>
        <v>3500</v>
      </c>
      <c r="P22" s="161">
        <f>N22*O22</f>
        <v>3500</v>
      </c>
      <c r="Q22" s="188">
        <f>+Facturas!D87</f>
        <v>45413</v>
      </c>
      <c r="R22" s="160" t="s">
        <v>612</v>
      </c>
      <c r="S22" s="29" t="s">
        <v>1052</v>
      </c>
    </row>
    <row r="23" spans="2:25" x14ac:dyDescent="0.3">
      <c r="B23" s="3" t="s">
        <v>377</v>
      </c>
      <c r="C23" s="3" t="s">
        <v>592</v>
      </c>
      <c r="D23" s="3" t="s">
        <v>243</v>
      </c>
      <c r="F23" s="247" t="str">
        <f>+Facturas!Q88</f>
        <v>Gasto</v>
      </c>
      <c r="G23" s="3" t="s">
        <v>593</v>
      </c>
      <c r="H23" s="3">
        <f t="shared" si="0"/>
        <v>20547121628</v>
      </c>
      <c r="I23" s="3" t="str">
        <f t="shared" si="1"/>
        <v>194-2097981-0-25</v>
      </c>
      <c r="J23" s="3" t="str">
        <f t="shared" si="2"/>
        <v>BCP</v>
      </c>
      <c r="K23" s="158" t="str">
        <f>+CONCATENATE(Facturas!J88," (",Facturas!S88, ")")</f>
        <v>Mantenimiento SG5 // Feb 23 - Ene 24 (Operaciones)</v>
      </c>
      <c r="L23" s="124" t="str">
        <f>+Facturas!L88</f>
        <v>Cuota 12/12 (Ene)</v>
      </c>
      <c r="M23" s="159" t="s">
        <v>615</v>
      </c>
      <c r="N23" s="157">
        <v>1</v>
      </c>
      <c r="O23" s="125">
        <f>+Facturas!P88</f>
        <v>5100</v>
      </c>
      <c r="P23" s="157">
        <f t="shared" ref="P23:P24" si="6">N23*O23</f>
        <v>5100</v>
      </c>
      <c r="Q23" s="188">
        <f>+Facturas!D88</f>
        <v>45295</v>
      </c>
      <c r="R23" s="160" t="s">
        <v>612</v>
      </c>
      <c r="S23" s="29" t="s">
        <v>1052</v>
      </c>
    </row>
    <row r="24" spans="2:25" x14ac:dyDescent="0.3">
      <c r="B24" s="3" t="s">
        <v>377</v>
      </c>
      <c r="C24" s="3" t="s">
        <v>592</v>
      </c>
      <c r="D24" s="3" t="s">
        <v>243</v>
      </c>
      <c r="F24" s="247" t="str">
        <f>+Facturas!Q89</f>
        <v>Cuenta 34: Activo intangible</v>
      </c>
      <c r="G24" s="3" t="s">
        <v>593</v>
      </c>
      <c r="H24" s="3">
        <f t="shared" si="0"/>
        <v>20547121628</v>
      </c>
      <c r="I24" s="3" t="str">
        <f t="shared" si="1"/>
        <v>194-2097981-0-25</v>
      </c>
      <c r="J24" s="3" t="str">
        <f t="shared" si="2"/>
        <v>BCP</v>
      </c>
      <c r="K24" s="158" t="str">
        <f>+CONCATENATE(Facturas!J89," (",Facturas!S89, ")")</f>
        <v>Tratamiento de datos- SG5 (Operaciones)</v>
      </c>
      <c r="L24" s="124" t="str">
        <f>+Facturas!L89</f>
        <v xml:space="preserve">Cuota 2/2 - 50% </v>
      </c>
      <c r="M24" s="159" t="s">
        <v>615</v>
      </c>
      <c r="N24" s="157">
        <v>1</v>
      </c>
      <c r="O24" s="125">
        <f>+Facturas!P89</f>
        <v>5550</v>
      </c>
      <c r="P24" s="157">
        <f t="shared" si="6"/>
        <v>5550</v>
      </c>
      <c r="Q24" s="188">
        <f>+Facturas!D89</f>
        <v>45505</v>
      </c>
      <c r="R24" s="160" t="s">
        <v>612</v>
      </c>
      <c r="S24" s="29" t="s">
        <v>1052</v>
      </c>
    </row>
    <row r="25" spans="2:25" x14ac:dyDescent="0.3">
      <c r="B25" s="3" t="s">
        <v>377</v>
      </c>
      <c r="C25" s="3" t="s">
        <v>592</v>
      </c>
      <c r="D25" s="3" t="s">
        <v>243</v>
      </c>
      <c r="F25" s="247" t="str">
        <f>+Facturas!Q90</f>
        <v>Cuenta 34: Activo intangible</v>
      </c>
      <c r="G25" s="3" t="s">
        <v>716</v>
      </c>
      <c r="H25" s="3">
        <f t="shared" ref="H25:H30" si="7">+VLOOKUP(G25,$V$14:$Y$17,2,FALSE)</f>
        <v>20603038160</v>
      </c>
      <c r="I25" s="3" t="str">
        <f t="shared" ref="I25:I30" si="8">+VLOOKUP(G25,$V$14:$Y$17,3,FALSE)</f>
        <v>194-2493856-0-62</v>
      </c>
      <c r="J25" s="3" t="str">
        <f t="shared" si="2"/>
        <v>BCP</v>
      </c>
      <c r="K25" s="158" t="str">
        <f>+CONCATENATE(Facturas!J90," (",Facturas!S90, ")")</f>
        <v>Contratos digitales - Parte 2 (Operaciones)</v>
      </c>
      <c r="L25" s="124" t="str">
        <f>+Facturas!L90</f>
        <v>Cuota 2/2 - 50%</v>
      </c>
      <c r="M25" s="159" t="s">
        <v>615</v>
      </c>
      <c r="N25" s="157">
        <v>1</v>
      </c>
      <c r="O25" s="125">
        <f>+Facturas!P90</f>
        <v>6260</v>
      </c>
      <c r="P25" s="161">
        <f>N25*O25</f>
        <v>6260</v>
      </c>
      <c r="Q25" s="188">
        <f>+Facturas!D90</f>
        <v>45505</v>
      </c>
      <c r="R25" s="160" t="s">
        <v>612</v>
      </c>
      <c r="S25" s="29" t="s">
        <v>1052</v>
      </c>
    </row>
    <row r="26" spans="2:25" x14ac:dyDescent="0.3">
      <c r="B26" s="3" t="s">
        <v>377</v>
      </c>
      <c r="C26" s="3" t="s">
        <v>592</v>
      </c>
      <c r="D26" s="3" t="s">
        <v>243</v>
      </c>
      <c r="F26" s="247" t="str">
        <f>+Facturas!Q91</f>
        <v>Cuenta 34: Activo intangible</v>
      </c>
      <c r="G26" s="3" t="s">
        <v>716</v>
      </c>
      <c r="H26" s="3">
        <f t="shared" si="7"/>
        <v>20603038160</v>
      </c>
      <c r="I26" s="3" t="str">
        <f t="shared" si="8"/>
        <v>194-2493856-0-62</v>
      </c>
      <c r="J26" s="3" t="str">
        <f t="shared" si="2"/>
        <v>BCP</v>
      </c>
      <c r="K26" s="158" t="str">
        <f>+CONCATENATE(Facturas!J91," (",Facturas!S91, ")")</f>
        <v>Carencia por sede (Operaciones)</v>
      </c>
      <c r="L26" s="124" t="str">
        <f>+Facturas!L91</f>
        <v xml:space="preserve">Cuota 2/2 - 50% </v>
      </c>
      <c r="M26" s="159" t="s">
        <v>615</v>
      </c>
      <c r="N26" s="157">
        <v>1</v>
      </c>
      <c r="O26" s="125">
        <f>+Facturas!P91</f>
        <v>1850</v>
      </c>
      <c r="P26" s="157">
        <f t="shared" ref="P26" si="9">N26*O26</f>
        <v>1850</v>
      </c>
      <c r="Q26" s="188">
        <f>+Facturas!D91</f>
        <v>45292</v>
      </c>
      <c r="R26" s="160" t="s">
        <v>612</v>
      </c>
      <c r="S26" s="29" t="s">
        <v>1052</v>
      </c>
    </row>
    <row r="27" spans="2:25" x14ac:dyDescent="0.3">
      <c r="B27" s="3" t="s">
        <v>377</v>
      </c>
      <c r="C27" s="3" t="s">
        <v>592</v>
      </c>
      <c r="D27" s="3" t="s">
        <v>243</v>
      </c>
      <c r="F27" s="247" t="str">
        <f>+Facturas!Q92</f>
        <v>Cuenta 34: Activo intangible</v>
      </c>
      <c r="G27" s="3" t="s">
        <v>649</v>
      </c>
      <c r="H27" s="3">
        <f t="shared" si="7"/>
        <v>20524719585</v>
      </c>
      <c r="I27" s="3" t="str">
        <f t="shared" si="8"/>
        <v>194-20176075-0-72</v>
      </c>
      <c r="J27" s="3" t="str">
        <f t="shared" si="2"/>
        <v>BCP</v>
      </c>
      <c r="K27" s="158" t="str">
        <f>+CONCATENATE(Facturas!J92," (",Facturas!S92, ")")</f>
        <v>Modificación proceso de firma (Operaciones)</v>
      </c>
      <c r="L27" s="124" t="str">
        <f>+Facturas!L92</f>
        <v xml:space="preserve">Cuota 2/2 - 50% </v>
      </c>
      <c r="M27" s="159" t="s">
        <v>615</v>
      </c>
      <c r="N27" s="157">
        <v>1</v>
      </c>
      <c r="O27" s="125">
        <f>+Facturas!P92</f>
        <v>8715</v>
      </c>
      <c r="P27" s="157">
        <f t="shared" ref="P27:P28" si="10">N27*O27</f>
        <v>8715</v>
      </c>
      <c r="Q27" s="188">
        <f>+Facturas!D92</f>
        <v>45505</v>
      </c>
      <c r="R27" s="160" t="s">
        <v>612</v>
      </c>
      <c r="S27" s="29" t="s">
        <v>1052</v>
      </c>
    </row>
    <row r="28" spans="2:25" x14ac:dyDescent="0.3">
      <c r="B28" s="3" t="s">
        <v>377</v>
      </c>
      <c r="C28" s="3" t="s">
        <v>592</v>
      </c>
      <c r="D28" s="3" t="s">
        <v>243</v>
      </c>
      <c r="F28" s="247" t="str">
        <f>+Facturas!Q93</f>
        <v>Cuenta 34: Activo intangible</v>
      </c>
      <c r="G28" s="3" t="s">
        <v>593</v>
      </c>
      <c r="H28" s="3">
        <f t="shared" si="7"/>
        <v>20547121628</v>
      </c>
      <c r="I28" s="3" t="str">
        <f t="shared" si="8"/>
        <v>194-2097981-0-25</v>
      </c>
      <c r="J28" s="3" t="str">
        <f t="shared" si="2"/>
        <v>BCP</v>
      </c>
      <c r="K28" s="158" t="str">
        <f>+CONCATENATE(Facturas!J93," (",Facturas!S93, ")")</f>
        <v>Pago ventanilla Caja Arequipa (Operaciones)</v>
      </c>
      <c r="L28" s="124" t="str">
        <f>+Facturas!L93</f>
        <v xml:space="preserve">Cuota 1/2 - 50% </v>
      </c>
      <c r="M28" s="159" t="s">
        <v>615</v>
      </c>
      <c r="N28" s="157">
        <v>1</v>
      </c>
      <c r="O28" s="125">
        <f>+Facturas!P93</f>
        <v>1210</v>
      </c>
      <c r="P28" s="157">
        <f t="shared" si="10"/>
        <v>1210</v>
      </c>
      <c r="Q28" s="188">
        <f>+Facturas!D93</f>
        <v>45261</v>
      </c>
      <c r="R28" s="160" t="s">
        <v>612</v>
      </c>
      <c r="S28" s="29" t="s">
        <v>1052</v>
      </c>
    </row>
    <row r="29" spans="2:25" x14ac:dyDescent="0.3">
      <c r="B29" s="3" t="s">
        <v>377</v>
      </c>
      <c r="C29" s="3" t="s">
        <v>592</v>
      </c>
      <c r="D29" s="3" t="s">
        <v>243</v>
      </c>
      <c r="F29" s="247" t="str">
        <f>+Facturas!Q94</f>
        <v>Cuenta 34: Activo intangible</v>
      </c>
      <c r="G29" s="3" t="s">
        <v>593</v>
      </c>
      <c r="H29" s="3">
        <f t="shared" si="7"/>
        <v>20547121628</v>
      </c>
      <c r="I29" s="3" t="str">
        <f t="shared" si="8"/>
        <v>194-2097981-0-25</v>
      </c>
      <c r="J29" s="3" t="str">
        <f t="shared" si="2"/>
        <v>BCP</v>
      </c>
      <c r="K29" s="158" t="str">
        <f>+CONCATENATE(Facturas!J94," (",Facturas!S94, ")")</f>
        <v>Pago ventanilla Caja Arequipa (Operaciones)</v>
      </c>
      <c r="L29" s="124" t="str">
        <f>+Facturas!L94</f>
        <v xml:space="preserve">Cuota 2/2 - 50% </v>
      </c>
      <c r="M29" s="159" t="s">
        <v>615</v>
      </c>
      <c r="N29" s="157">
        <v>1</v>
      </c>
      <c r="O29" s="125">
        <f>+Facturas!P94</f>
        <v>1210</v>
      </c>
      <c r="P29" s="170">
        <f>N29*O29</f>
        <v>1210</v>
      </c>
      <c r="Q29" s="188">
        <f>+Facturas!D94</f>
        <v>45383</v>
      </c>
      <c r="R29" s="160" t="s">
        <v>612</v>
      </c>
      <c r="S29" s="29" t="s">
        <v>1052</v>
      </c>
    </row>
    <row r="30" spans="2:25" x14ac:dyDescent="0.3">
      <c r="B30" s="3" t="s">
        <v>377</v>
      </c>
      <c r="C30" s="3" t="s">
        <v>592</v>
      </c>
      <c r="D30" s="3" t="s">
        <v>243</v>
      </c>
      <c r="F30" s="247" t="str">
        <f>+Facturas!Q95</f>
        <v>Cuenta 34: Activo intangible</v>
      </c>
      <c r="G30" s="3" t="s">
        <v>593</v>
      </c>
      <c r="H30" s="3">
        <f t="shared" si="7"/>
        <v>20547121628</v>
      </c>
      <c r="I30" s="3" t="str">
        <f t="shared" si="8"/>
        <v>194-2097981-0-25</v>
      </c>
      <c r="J30" s="3" t="str">
        <f t="shared" si="2"/>
        <v>BCP</v>
      </c>
      <c r="K30" s="158" t="str">
        <f>+CONCATENATE(Facturas!J95," (",Facturas!S95, ")")</f>
        <v>Contratos digitales - Parte 1 (Operaciones)</v>
      </c>
      <c r="L30" s="124" t="str">
        <f>+Facturas!L95</f>
        <v>Cuota única</v>
      </c>
      <c r="M30" s="159" t="s">
        <v>615</v>
      </c>
      <c r="N30" s="157">
        <v>1</v>
      </c>
      <c r="O30" s="125">
        <f>+Facturas!P95</f>
        <v>2560</v>
      </c>
      <c r="P30" s="170">
        <f>N30*O30</f>
        <v>2560</v>
      </c>
      <c r="Q30" s="188">
        <f>+Facturas!D95</f>
        <v>45261</v>
      </c>
      <c r="R30" s="160" t="s">
        <v>612</v>
      </c>
      <c r="S30" s="29" t="s">
        <v>1052</v>
      </c>
    </row>
    <row r="31" spans="2:25" x14ac:dyDescent="0.3">
      <c r="B31" s="3" t="s">
        <v>377</v>
      </c>
      <c r="C31" s="3" t="s">
        <v>592</v>
      </c>
      <c r="D31" s="3" t="s">
        <v>243</v>
      </c>
      <c r="F31" s="247" t="str">
        <f>+Facturas!Q96</f>
        <v>Cuenta 34: Activo intangible</v>
      </c>
      <c r="G31" s="3" t="s">
        <v>732</v>
      </c>
      <c r="H31" s="3">
        <f>+VLOOKUP(G31,$V$14:$Y$18,2,FALSE)</f>
        <v>20493117531</v>
      </c>
      <c r="I31" s="3" t="str">
        <f>+VLOOKUP(G31,$V$14:$Y$18,3,FALSE)</f>
        <v>193-1738457-1-80</v>
      </c>
      <c r="J31" s="3" t="str">
        <f t="shared" si="2"/>
        <v>BCP</v>
      </c>
      <c r="K31" s="158" t="str">
        <f>+CONCATENATE(Facturas!J96," (",Facturas!S96, ")")</f>
        <v>Portal del cliente- modificación de la web (Operaciones)</v>
      </c>
      <c r="L31" s="124" t="str">
        <f>+Facturas!L96</f>
        <v>Cuota única</v>
      </c>
      <c r="M31" s="159" t="s">
        <v>615</v>
      </c>
      <c r="N31" s="157">
        <v>1</v>
      </c>
      <c r="O31" s="125">
        <f>+Facturas!P96</f>
        <v>1660.0000000000002</v>
      </c>
      <c r="P31" s="170">
        <f t="shared" ref="P31" si="11">N31*O31</f>
        <v>1660.0000000000002</v>
      </c>
      <c r="Q31" s="188">
        <f>+Facturas!D96</f>
        <v>45292</v>
      </c>
      <c r="R31" s="160" t="s">
        <v>612</v>
      </c>
      <c r="S31" s="29" t="s">
        <v>1052</v>
      </c>
    </row>
    <row r="32" spans="2:25" s="1" customFormat="1" x14ac:dyDescent="0.3">
      <c r="B32" s="173" t="s">
        <v>377</v>
      </c>
      <c r="C32" s="173" t="s">
        <v>592</v>
      </c>
      <c r="D32" s="173" t="s">
        <v>243</v>
      </c>
      <c r="F32" s="250" t="str">
        <f>+Facturas!Q97</f>
        <v>Gasto</v>
      </c>
      <c r="G32" s="173" t="s">
        <v>716</v>
      </c>
      <c r="H32" s="173">
        <f>+VLOOKUP(G32,$V$14:$Y$18,2,FALSE)</f>
        <v>20603038160</v>
      </c>
      <c r="I32" s="173" t="str">
        <f>+VLOOKUP(G32,$V$14:$Y$18,3,FALSE)</f>
        <v>194-2493856-0-62</v>
      </c>
      <c r="J32" s="173" t="str">
        <f t="shared" si="2"/>
        <v>BCP</v>
      </c>
      <c r="K32" s="174" t="str">
        <f>+CONCATENATE(Facturas!J97," (",Facturas!S97, ")")</f>
        <v>Contrato digital (Operaciones)</v>
      </c>
      <c r="L32" s="175" t="str">
        <f>+Facturas!L97</f>
        <v xml:space="preserve">Cuota única </v>
      </c>
      <c r="M32" s="176" t="s">
        <v>615</v>
      </c>
      <c r="N32" s="173">
        <v>1</v>
      </c>
      <c r="O32" s="177">
        <f>+Facturas!P97</f>
        <v>4125</v>
      </c>
      <c r="P32" s="178">
        <f t="shared" ref="P32:P34" si="12">N32*O32</f>
        <v>4125</v>
      </c>
      <c r="Q32" s="188">
        <f>+Facturas!D97</f>
        <v>45292</v>
      </c>
      <c r="R32" s="179" t="s">
        <v>612</v>
      </c>
      <c r="S32" s="29" t="s">
        <v>1052</v>
      </c>
      <c r="T32" s="180"/>
    </row>
    <row r="33" spans="2:19" x14ac:dyDescent="0.3">
      <c r="B33" s="3"/>
      <c r="C33" s="3"/>
      <c r="D33" s="3"/>
      <c r="F33" s="247" t="str">
        <f>+Facturas!Q98</f>
        <v>Cuenta 34: Activo intangible</v>
      </c>
      <c r="G33" s="3" t="s">
        <v>593</v>
      </c>
      <c r="H33" s="3">
        <f t="shared" ref="H33" si="13">+VLOOKUP(G33,$V$14:$Y$17,2,FALSE)</f>
        <v>20547121628</v>
      </c>
      <c r="I33" s="3" t="str">
        <f t="shared" ref="I33" si="14">+VLOOKUP(G33,$V$14:$Y$17,3,FALSE)</f>
        <v>194-2097981-0-25</v>
      </c>
      <c r="J33" s="3" t="str">
        <f t="shared" ref="J33:J41" si="15">+VLOOKUP(G33,$V$14:$Y$16,4)</f>
        <v>BCP</v>
      </c>
      <c r="K33" s="181" t="str">
        <f>+CONCATENATE(Facturas!J98," (",Facturas!S98, ")")</f>
        <v>Optimización de SG5 planillas - Desarrollos (GDH)</v>
      </c>
      <c r="L33" s="73" t="str">
        <f>+Facturas!L98</f>
        <v xml:space="preserve">Cuota 1/5 - 30% </v>
      </c>
      <c r="M33" s="4" t="s">
        <v>615</v>
      </c>
      <c r="N33" s="3">
        <v>1</v>
      </c>
      <c r="O33" s="182">
        <f>+Facturas!P98</f>
        <v>7350</v>
      </c>
      <c r="P33" s="183">
        <f>N33*O33</f>
        <v>7350</v>
      </c>
      <c r="Q33" s="188">
        <f>+Facturas!D98</f>
        <v>45261</v>
      </c>
      <c r="R33" s="73" t="s">
        <v>612</v>
      </c>
      <c r="S33" s="29" t="s">
        <v>1052</v>
      </c>
    </row>
    <row r="34" spans="2:19" x14ac:dyDescent="0.3">
      <c r="F34" s="247" t="str">
        <f>+Facturas!Q99</f>
        <v>Cuenta 34: Activo intangible</v>
      </c>
      <c r="G34" s="3" t="s">
        <v>593</v>
      </c>
      <c r="H34" s="3">
        <f t="shared" ref="H34:H35" si="16">+VLOOKUP(G34,$V$14:$Y$18,2,FALSE)</f>
        <v>20547121628</v>
      </c>
      <c r="I34" s="3" t="str">
        <f t="shared" ref="I34:I35" si="17">+VLOOKUP(G34,$V$14:$Y$18,3,FALSE)</f>
        <v>194-2097981-0-25</v>
      </c>
      <c r="J34" s="3" t="str">
        <f t="shared" si="15"/>
        <v>BCP</v>
      </c>
      <c r="K34" s="181" t="str">
        <f>+CONCATENATE(Facturas!J99," (",Facturas!S99, ")")</f>
        <v>Optimización de SG5 planillas - Desarrollos (GDH)</v>
      </c>
      <c r="L34" s="73" t="str">
        <f>+Facturas!L99</f>
        <v>Cuota 2/5 - 17.5%</v>
      </c>
      <c r="M34" s="4" t="s">
        <v>615</v>
      </c>
      <c r="N34" s="3">
        <v>1</v>
      </c>
      <c r="O34" s="182">
        <f>+Facturas!P99</f>
        <v>4287.5</v>
      </c>
      <c r="P34" s="183">
        <f t="shared" si="12"/>
        <v>4287.5</v>
      </c>
      <c r="Q34" s="188">
        <f>+Facturas!D99</f>
        <v>45323</v>
      </c>
      <c r="R34" s="73" t="s">
        <v>612</v>
      </c>
      <c r="S34" s="29" t="s">
        <v>1052</v>
      </c>
    </row>
    <row r="35" spans="2:19" x14ac:dyDescent="0.3">
      <c r="F35" s="247" t="str">
        <f>+Facturas!Q100</f>
        <v>Cuenta 34: Activo intangible</v>
      </c>
      <c r="G35" s="3" t="s">
        <v>593</v>
      </c>
      <c r="H35" s="3">
        <f t="shared" si="16"/>
        <v>20547121628</v>
      </c>
      <c r="I35" s="3" t="str">
        <f t="shared" si="17"/>
        <v>194-2097981-0-25</v>
      </c>
      <c r="J35" s="3" t="str">
        <f t="shared" si="15"/>
        <v>BCP</v>
      </c>
      <c r="K35" s="181" t="str">
        <f>+CONCATENATE(Facturas!J100," (",Facturas!S100, ")")</f>
        <v>Optimización de SG5 planillas - Desarrollos (GDH)</v>
      </c>
      <c r="L35" s="73" t="str">
        <f>+Facturas!L100</f>
        <v>Cuota 3/5 - 17.5%</v>
      </c>
      <c r="M35" s="4" t="s">
        <v>615</v>
      </c>
      <c r="N35" s="3">
        <v>1</v>
      </c>
      <c r="O35" s="182">
        <f>+Facturas!P100</f>
        <v>4287.5</v>
      </c>
      <c r="P35" s="183">
        <f t="shared" ref="P35:P38" si="18">N35*O35</f>
        <v>4287.5</v>
      </c>
      <c r="Q35" s="188">
        <f>+Facturas!D100</f>
        <v>45383</v>
      </c>
      <c r="R35" s="73" t="s">
        <v>612</v>
      </c>
      <c r="S35" s="29" t="s">
        <v>1052</v>
      </c>
    </row>
    <row r="36" spans="2:19" x14ac:dyDescent="0.3">
      <c r="F36" s="247" t="str">
        <f>+Facturas!Q101</f>
        <v>Cuenta 34: Activo intangible</v>
      </c>
      <c r="G36" s="3" t="s">
        <v>593</v>
      </c>
      <c r="H36" s="3">
        <f t="shared" ref="H36" si="19">+VLOOKUP(G36,$V$14:$Y$17,2,FALSE)</f>
        <v>20547121628</v>
      </c>
      <c r="I36" s="3" t="str">
        <f t="shared" ref="I36" si="20">+VLOOKUP(G36,$V$14:$Y$17,3,FALSE)</f>
        <v>194-2097981-0-25</v>
      </c>
      <c r="J36" s="3" t="str">
        <f t="shared" si="15"/>
        <v>BCP</v>
      </c>
      <c r="K36" s="181" t="str">
        <f>+CONCATENATE(Facturas!J101," (",Facturas!S101, ")")</f>
        <v>Optimización de SG5 planillas - Desarrollos (GDH)</v>
      </c>
      <c r="L36" s="73" t="str">
        <f>+Facturas!L101</f>
        <v>Cuota 4/5 - 17.5%</v>
      </c>
      <c r="M36" s="4" t="s">
        <v>615</v>
      </c>
      <c r="N36" s="3">
        <v>1</v>
      </c>
      <c r="O36" s="182">
        <f>+Facturas!P101</f>
        <v>4287.5</v>
      </c>
      <c r="P36" s="183">
        <f t="shared" si="18"/>
        <v>4287.5</v>
      </c>
      <c r="Q36" s="188">
        <f>+Facturas!D101</f>
        <v>45505</v>
      </c>
      <c r="R36" s="73" t="s">
        <v>612</v>
      </c>
      <c r="S36" s="29" t="s">
        <v>1052</v>
      </c>
    </row>
    <row r="37" spans="2:19" x14ac:dyDescent="0.3">
      <c r="F37" s="247" t="str">
        <f>+Facturas!Q102</f>
        <v>Cuenta 34: Activo intangible</v>
      </c>
      <c r="G37" s="3" t="s">
        <v>593</v>
      </c>
      <c r="H37" s="3">
        <f t="shared" ref="H37:H38" si="21">+VLOOKUP(G37,$V$14:$Y$18,2,FALSE)</f>
        <v>20547121628</v>
      </c>
      <c r="I37" s="3" t="str">
        <f t="shared" ref="I37:I38" si="22">+VLOOKUP(G37,$V$14:$Y$18,3,FALSE)</f>
        <v>194-2097981-0-25</v>
      </c>
      <c r="J37" s="3" t="str">
        <f t="shared" si="15"/>
        <v>BCP</v>
      </c>
      <c r="K37" s="181" t="str">
        <f>+CONCATENATE(Facturas!J102," (",Facturas!S102, ")")</f>
        <v>Optimización de SG5 planillas - Desarrollos (GDH)</v>
      </c>
      <c r="L37" s="73" t="str">
        <f>+Facturas!L102</f>
        <v>Cuota 5/5 - 17.5%</v>
      </c>
      <c r="M37" s="4" t="s">
        <v>615</v>
      </c>
      <c r="N37" s="3">
        <v>1</v>
      </c>
      <c r="O37" s="182">
        <f>+Facturas!P102</f>
        <v>4287.5</v>
      </c>
      <c r="P37" s="183">
        <f t="shared" si="18"/>
        <v>4287.5</v>
      </c>
      <c r="Q37" s="188">
        <f>+Facturas!D102</f>
        <v>45536</v>
      </c>
      <c r="R37" s="73" t="s">
        <v>612</v>
      </c>
      <c r="S37" s="29" t="s">
        <v>1052</v>
      </c>
    </row>
    <row r="38" spans="2:19" x14ac:dyDescent="0.3">
      <c r="F38" s="247" t="str">
        <f>+Facturas!Q103</f>
        <v>Cuenta 34: Activo intangible</v>
      </c>
      <c r="G38" s="3" t="s">
        <v>593</v>
      </c>
      <c r="H38" s="3">
        <f t="shared" si="21"/>
        <v>20547121628</v>
      </c>
      <c r="I38" s="3" t="str">
        <f t="shared" si="22"/>
        <v>194-2097981-0-25</v>
      </c>
      <c r="J38" s="3" t="str">
        <f t="shared" si="15"/>
        <v>BCP</v>
      </c>
      <c r="K38" s="181" t="str">
        <f>+CONCATENATE(Facturas!J103," (",Facturas!S103, ")")</f>
        <v>Implementación de las NIIF (Adm&amp;Fin)</v>
      </c>
      <c r="L38" s="73" t="str">
        <f>+Facturas!L103</f>
        <v xml:space="preserve">Cuota 1/5 - 30% </v>
      </c>
      <c r="M38" s="4" t="s">
        <v>615</v>
      </c>
      <c r="N38" s="3">
        <v>1</v>
      </c>
      <c r="O38" s="182">
        <f>+Facturas!P103</f>
        <v>4410</v>
      </c>
      <c r="P38" s="183">
        <f t="shared" si="18"/>
        <v>4410</v>
      </c>
      <c r="Q38" s="188">
        <f>+Facturas!D103</f>
        <v>45261</v>
      </c>
      <c r="R38" s="73" t="s">
        <v>612</v>
      </c>
      <c r="S38" s="29" t="s">
        <v>1052</v>
      </c>
    </row>
    <row r="39" spans="2:19" x14ac:dyDescent="0.3">
      <c r="F39" s="247" t="str">
        <f>+Facturas!Q104</f>
        <v>Cuenta 34: Activo intangible</v>
      </c>
      <c r="G39" s="3" t="s">
        <v>593</v>
      </c>
      <c r="H39" s="3">
        <f t="shared" ref="H39" si="23">+VLOOKUP(G39,$V$14:$Y$17,2,FALSE)</f>
        <v>20547121628</v>
      </c>
      <c r="I39" s="3" t="str">
        <f t="shared" ref="I39" si="24">+VLOOKUP(G39,$V$14:$Y$17,3,FALSE)</f>
        <v>194-2097981-0-25</v>
      </c>
      <c r="J39" s="3" t="str">
        <f t="shared" si="15"/>
        <v>BCP</v>
      </c>
      <c r="K39" s="181" t="str">
        <f>+CONCATENATE(Facturas!J104," (",Facturas!S104, ")")</f>
        <v>Implementación de las NIIF (Adm&amp;Fin)</v>
      </c>
      <c r="L39" s="73" t="str">
        <f>+Facturas!L104</f>
        <v>Cuota 2/5 - 17.5%</v>
      </c>
      <c r="M39" s="4" t="s">
        <v>615</v>
      </c>
      <c r="N39" s="3">
        <v>1</v>
      </c>
      <c r="O39" s="182">
        <f>+Facturas!P104</f>
        <v>2572.5</v>
      </c>
      <c r="P39" s="183">
        <f>N39*O39</f>
        <v>2572.5</v>
      </c>
      <c r="Q39" s="188">
        <f>+Facturas!D104</f>
        <v>45352</v>
      </c>
      <c r="R39" s="73" t="s">
        <v>612</v>
      </c>
      <c r="S39" s="29" t="s">
        <v>1052</v>
      </c>
    </row>
    <row r="40" spans="2:19" x14ac:dyDescent="0.3">
      <c r="F40" s="247" t="str">
        <f>+Facturas!Q105</f>
        <v>Cuenta 34: Activo intangible</v>
      </c>
      <c r="G40" s="3" t="s">
        <v>593</v>
      </c>
      <c r="H40" s="3">
        <f>+VLOOKUP(G40,$V$14:$Y$18,2,FALSE)</f>
        <v>20547121628</v>
      </c>
      <c r="I40" s="3" t="str">
        <f>+VLOOKUP(G40,$V$14:$Y$18,3,FALSE)</f>
        <v>194-2097981-0-25</v>
      </c>
      <c r="J40" s="3" t="str">
        <f t="shared" si="15"/>
        <v>BCP</v>
      </c>
      <c r="K40" s="181" t="str">
        <f>+CONCATENATE(Facturas!J105," (",Facturas!S105, ")")</f>
        <v>Implementación de las NIIF (Adm&amp;Fin)</v>
      </c>
      <c r="L40" s="73" t="str">
        <f>+Facturas!L105</f>
        <v>Cuota 3/5 - 17.5%</v>
      </c>
      <c r="M40" s="4" t="s">
        <v>615</v>
      </c>
      <c r="N40" s="3">
        <v>1</v>
      </c>
      <c r="O40" s="182">
        <f>+Facturas!P105</f>
        <v>2572.5</v>
      </c>
      <c r="P40" s="183">
        <f t="shared" ref="P40:P50" si="25">N40*O40</f>
        <v>2572.5</v>
      </c>
      <c r="Q40" s="188">
        <f>+Facturas!D105</f>
        <v>45383</v>
      </c>
      <c r="R40" s="73" t="s">
        <v>612</v>
      </c>
      <c r="S40" s="29" t="s">
        <v>1052</v>
      </c>
    </row>
    <row r="41" spans="2:19" x14ac:dyDescent="0.3">
      <c r="F41" s="247" t="str">
        <f>+Facturas!Q106</f>
        <v>Cuenta 34: Activo intangible</v>
      </c>
      <c r="G41" s="3" t="s">
        <v>593</v>
      </c>
      <c r="H41" s="3">
        <f>+VLOOKUP(G41,$V$14:$Y$18,2,FALSE)</f>
        <v>20547121628</v>
      </c>
      <c r="I41" s="3" t="str">
        <f>+VLOOKUP(G41,$V$14:$Y$18,3,FALSE)</f>
        <v>194-2097981-0-25</v>
      </c>
      <c r="J41" s="3" t="str">
        <f t="shared" si="15"/>
        <v>BCP</v>
      </c>
      <c r="K41" s="181" t="str">
        <f>+CONCATENATE(Facturas!J106," (",Facturas!S106, ")")</f>
        <v>Implementación de las NIIF (Adm&amp;Fin)</v>
      </c>
      <c r="L41" s="73" t="str">
        <f>+Facturas!L106</f>
        <v>Cuota 4/5 - 17.5%</v>
      </c>
      <c r="M41" s="4" t="s">
        <v>615</v>
      </c>
      <c r="N41" s="3">
        <v>1</v>
      </c>
      <c r="O41" s="182">
        <f>+Facturas!P106</f>
        <v>2572.5</v>
      </c>
      <c r="P41" s="183">
        <f t="shared" si="25"/>
        <v>2572.5</v>
      </c>
      <c r="Q41" s="188">
        <f>+Facturas!D106</f>
        <v>45536</v>
      </c>
      <c r="R41" s="73" t="s">
        <v>612</v>
      </c>
      <c r="S41" s="29" t="s">
        <v>1052</v>
      </c>
    </row>
    <row r="42" spans="2:19" x14ac:dyDescent="0.3">
      <c r="F42" s="247" t="str">
        <f>+Facturas!Q107</f>
        <v>Cuenta 34: Activo intangible</v>
      </c>
      <c r="G42" s="3" t="s">
        <v>593</v>
      </c>
      <c r="H42" s="3">
        <f t="shared" ref="H42" si="26">+VLOOKUP(G42,$V$14:$Y$17,2,FALSE)</f>
        <v>20547121628</v>
      </c>
      <c r="I42" s="3" t="str">
        <f t="shared" ref="I42" si="27">+VLOOKUP(G42,$V$14:$Y$17,3,FALSE)</f>
        <v>194-2097981-0-25</v>
      </c>
      <c r="J42" s="3" t="str">
        <f t="shared" ref="J42:J50" si="28">+VLOOKUP(G42,$V$14:$Y$16,4)</f>
        <v>BCP</v>
      </c>
      <c r="K42" s="181" t="str">
        <f>+CONCATENATE(Facturas!J107," (",Facturas!S107, ")")</f>
        <v>Implementación de las NIIF (Adm&amp;Fin)</v>
      </c>
      <c r="L42" s="73" t="str">
        <f>+Facturas!L107</f>
        <v>Cuota 5/5 - 17.5%</v>
      </c>
      <c r="M42" s="4" t="s">
        <v>615</v>
      </c>
      <c r="N42" s="3">
        <v>1</v>
      </c>
      <c r="O42" s="182">
        <f>+Facturas!P107</f>
        <v>2572.5</v>
      </c>
      <c r="P42" s="183">
        <f t="shared" si="25"/>
        <v>2572.5</v>
      </c>
      <c r="Q42" s="188">
        <f>+Facturas!D107</f>
        <v>45536</v>
      </c>
      <c r="R42" s="73" t="s">
        <v>612</v>
      </c>
      <c r="S42" s="29" t="s">
        <v>1052</v>
      </c>
    </row>
    <row r="43" spans="2:19" x14ac:dyDescent="0.3">
      <c r="F43" s="247" t="str">
        <f>+Facturas!Q108</f>
        <v>Cuenta 34: Activo intangible</v>
      </c>
      <c r="G43" s="3" t="s">
        <v>593</v>
      </c>
      <c r="H43" s="3">
        <f t="shared" ref="H43:H44" si="29">+VLOOKUP(G43,$V$14:$Y$18,2,FALSE)</f>
        <v>20547121628</v>
      </c>
      <c r="I43" s="3" t="str">
        <f t="shared" ref="I43:I44" si="30">+VLOOKUP(G43,$V$14:$Y$18,3,FALSE)</f>
        <v>194-2097981-0-25</v>
      </c>
      <c r="J43" s="3" t="str">
        <f t="shared" si="28"/>
        <v>BCP</v>
      </c>
      <c r="K43" s="181" t="str">
        <f>+CONCATENATE(Facturas!J108," (",Facturas!S108, ")")</f>
        <v>Proceso vacaciones web (apariencia) (GDH)</v>
      </c>
      <c r="L43" s="73" t="str">
        <f>+Facturas!L108</f>
        <v xml:space="preserve">Cuota 1/2 - 50% </v>
      </c>
      <c r="M43" s="4" t="s">
        <v>615</v>
      </c>
      <c r="N43" s="3">
        <v>1</v>
      </c>
      <c r="O43" s="182">
        <f>+Facturas!P108</f>
        <v>5000</v>
      </c>
      <c r="P43" s="183">
        <f t="shared" si="25"/>
        <v>5000</v>
      </c>
      <c r="Q43" s="188">
        <f>+Facturas!D108</f>
        <v>45261</v>
      </c>
      <c r="R43" s="73" t="s">
        <v>612</v>
      </c>
      <c r="S43" s="29" t="s">
        <v>1052</v>
      </c>
    </row>
    <row r="44" spans="2:19" x14ac:dyDescent="0.3">
      <c r="F44" s="247" t="str">
        <f>+Facturas!Q109</f>
        <v>Cuenta 34: Activo intangible</v>
      </c>
      <c r="G44" s="3" t="s">
        <v>593</v>
      </c>
      <c r="H44" s="3">
        <f t="shared" si="29"/>
        <v>20547121628</v>
      </c>
      <c r="I44" s="3" t="str">
        <f t="shared" si="30"/>
        <v>194-2097981-0-25</v>
      </c>
      <c r="J44" s="3" t="str">
        <f t="shared" si="28"/>
        <v>BCP</v>
      </c>
      <c r="K44" s="181" t="str">
        <f>+CONCATENATE(Facturas!J109," (",Facturas!S109, ")")</f>
        <v>Proceso vacaciones web (apariencia) (GDH)</v>
      </c>
      <c r="L44" s="73" t="str">
        <f>+Facturas!L109</f>
        <v xml:space="preserve">Cuota 2/2 - 50% </v>
      </c>
      <c r="M44" s="4" t="s">
        <v>615</v>
      </c>
      <c r="N44" s="3">
        <v>1</v>
      </c>
      <c r="O44" s="182">
        <f>+Facturas!P109</f>
        <v>5000</v>
      </c>
      <c r="P44" s="183">
        <f t="shared" si="25"/>
        <v>5000</v>
      </c>
      <c r="Q44" s="188">
        <f>+Facturas!D109</f>
        <v>45536</v>
      </c>
      <c r="R44" s="73" t="s">
        <v>612</v>
      </c>
      <c r="S44" s="29" t="s">
        <v>1052</v>
      </c>
    </row>
    <row r="45" spans="2:19" x14ac:dyDescent="0.3">
      <c r="F45" s="247" t="str">
        <f>+Facturas!Q110</f>
        <v>Cuenta 34: Activo intangible</v>
      </c>
      <c r="G45" s="3" t="s">
        <v>593</v>
      </c>
      <c r="H45" s="3">
        <f t="shared" ref="H45:H46" si="31">+VLOOKUP(G45,$V$14:$Y$17,2,FALSE)</f>
        <v>20547121628</v>
      </c>
      <c r="I45" s="3" t="str">
        <f t="shared" ref="I45:I46" si="32">+VLOOKUP(G45,$V$14:$Y$17,3,FALSE)</f>
        <v>194-2097981-0-25</v>
      </c>
      <c r="J45" s="3" t="str">
        <f t="shared" si="28"/>
        <v>BCP</v>
      </c>
      <c r="K45" s="181" t="str">
        <f>+CONCATENATE(Facturas!J110," (",Facturas!S110, ")")</f>
        <v>Portal del cliente-parte 3 (Operaciones)</v>
      </c>
      <c r="L45" s="73" t="str">
        <f>+Facturas!L110</f>
        <v xml:space="preserve">Cuota 1/3 - 30% </v>
      </c>
      <c r="M45" s="4" t="s">
        <v>615</v>
      </c>
      <c r="N45" s="3">
        <v>1</v>
      </c>
      <c r="O45" s="182">
        <f>+Facturas!P110</f>
        <v>2034</v>
      </c>
      <c r="P45" s="183">
        <f t="shared" si="25"/>
        <v>2034</v>
      </c>
      <c r="Q45" s="188">
        <f>+Facturas!D110</f>
        <v>45261</v>
      </c>
      <c r="R45" s="73" t="s">
        <v>612</v>
      </c>
      <c r="S45" s="29" t="s">
        <v>1052</v>
      </c>
    </row>
    <row r="46" spans="2:19" x14ac:dyDescent="0.3">
      <c r="F46" s="247" t="str">
        <f>+Facturas!Q111</f>
        <v>Cuenta 34: Activo intangible</v>
      </c>
      <c r="G46" s="3" t="s">
        <v>593</v>
      </c>
      <c r="H46" s="3">
        <f t="shared" si="31"/>
        <v>20547121628</v>
      </c>
      <c r="I46" s="3" t="str">
        <f t="shared" si="32"/>
        <v>194-2097981-0-25</v>
      </c>
      <c r="J46" s="3" t="str">
        <f t="shared" si="28"/>
        <v>BCP</v>
      </c>
      <c r="K46" s="181" t="str">
        <f>+CONCATENATE(Facturas!J111," (",Facturas!S111, ")")</f>
        <v>Portal del cliente-parte 3 (Operaciones)</v>
      </c>
      <c r="L46" s="73" t="str">
        <f>+Facturas!L111</f>
        <v xml:space="preserve">Cuota 2/3 - 35% </v>
      </c>
      <c r="M46" s="4" t="s">
        <v>615</v>
      </c>
      <c r="N46" s="3">
        <v>1</v>
      </c>
      <c r="O46" s="182">
        <f>+Facturas!P111</f>
        <v>2373</v>
      </c>
      <c r="P46" s="183">
        <f t="shared" si="25"/>
        <v>2373</v>
      </c>
      <c r="Q46" s="188">
        <f>+Facturas!D111</f>
        <v>45292</v>
      </c>
      <c r="R46" s="73" t="s">
        <v>612</v>
      </c>
      <c r="S46" s="29" t="s">
        <v>1052</v>
      </c>
    </row>
    <row r="47" spans="2:19" x14ac:dyDescent="0.3">
      <c r="B47" s="121" t="s">
        <v>377</v>
      </c>
      <c r="C47" s="121" t="s">
        <v>592</v>
      </c>
      <c r="D47" s="15" t="s">
        <v>243</v>
      </c>
      <c r="F47" s="247" t="str">
        <f>+Facturas!Q112</f>
        <v>Cuenta 34: Activo intangible</v>
      </c>
      <c r="G47" s="3" t="s">
        <v>593</v>
      </c>
      <c r="H47" s="3">
        <f t="shared" ref="H47:H48" si="33">+VLOOKUP(G47,$V$14:$Y$18,2,FALSE)</f>
        <v>20547121628</v>
      </c>
      <c r="I47" s="3" t="str">
        <f t="shared" ref="I47:I48" si="34">+VLOOKUP(G47,$V$14:$Y$18,3,FALSE)</f>
        <v>194-2097981-0-25</v>
      </c>
      <c r="J47" s="3" t="str">
        <f t="shared" si="28"/>
        <v>BCP</v>
      </c>
      <c r="K47" s="181" t="str">
        <f>+CONCATENATE(Facturas!J112," (",Facturas!S112, ")")</f>
        <v>Portal del cliente-parte 3 (Operaciones)</v>
      </c>
      <c r="L47" s="73" t="str">
        <f>+Facturas!L112</f>
        <v>Cuota 3/3 - 35%</v>
      </c>
      <c r="M47" s="4" t="s">
        <v>615</v>
      </c>
      <c r="N47" s="3">
        <v>1</v>
      </c>
      <c r="O47" s="182">
        <f>+Facturas!P112</f>
        <v>2373</v>
      </c>
      <c r="P47" s="183">
        <f t="shared" si="25"/>
        <v>2373</v>
      </c>
      <c r="Q47" s="188">
        <f>+Facturas!D112</f>
        <v>45413</v>
      </c>
      <c r="R47" s="73" t="s">
        <v>612</v>
      </c>
      <c r="S47" s="29" t="s">
        <v>1052</v>
      </c>
    </row>
    <row r="48" spans="2:19" x14ac:dyDescent="0.3">
      <c r="F48" s="247" t="str">
        <f>+Facturas!Q113</f>
        <v>Cuenta 34: Activo intangible</v>
      </c>
      <c r="G48" s="3" t="s">
        <v>593</v>
      </c>
      <c r="H48" s="3">
        <f t="shared" si="33"/>
        <v>20547121628</v>
      </c>
      <c r="I48" s="3" t="str">
        <f t="shared" si="34"/>
        <v>194-2097981-0-25</v>
      </c>
      <c r="J48" s="3" t="str">
        <f t="shared" si="28"/>
        <v>BCP</v>
      </c>
      <c r="K48" s="181" t="str">
        <f>+CONCATENATE(Facturas!J113," (",Facturas!S113, ")")</f>
        <v>Ubicación de espacios y fallecidos (Comercial)</v>
      </c>
      <c r="L48" s="73" t="str">
        <f>+Facturas!L113</f>
        <v xml:space="preserve">Cuota 1/5 - 30% </v>
      </c>
      <c r="M48" s="4" t="s">
        <v>615</v>
      </c>
      <c r="N48" s="3">
        <v>1</v>
      </c>
      <c r="O48" s="182">
        <f>+Facturas!P113</f>
        <v>6900</v>
      </c>
      <c r="P48" s="183">
        <f t="shared" si="25"/>
        <v>6900</v>
      </c>
      <c r="Q48" s="188">
        <f>+Facturas!D113</f>
        <v>45261</v>
      </c>
      <c r="R48" s="73" t="s">
        <v>612</v>
      </c>
      <c r="S48" s="29" t="s">
        <v>1052</v>
      </c>
    </row>
    <row r="49" spans="6:19" x14ac:dyDescent="0.3">
      <c r="F49" s="247" t="str">
        <f>+Facturas!Q114</f>
        <v>Cuenta 34: Activo intangible</v>
      </c>
      <c r="G49" s="3" t="s">
        <v>593</v>
      </c>
      <c r="H49" s="3">
        <f t="shared" ref="H49" si="35">+VLOOKUP(G49,$V$14:$Y$17,2,FALSE)</f>
        <v>20547121628</v>
      </c>
      <c r="I49" s="3" t="str">
        <f t="shared" ref="I49" si="36">+VLOOKUP(G49,$V$14:$Y$17,3,FALSE)</f>
        <v>194-2097981-0-25</v>
      </c>
      <c r="J49" s="3" t="str">
        <f t="shared" si="28"/>
        <v>BCP</v>
      </c>
      <c r="K49" s="181" t="str">
        <f>+CONCATENATE(Facturas!J114," (",Facturas!S114, ")")</f>
        <v>Ubicación de espacios y fallecidos (Comercial)</v>
      </c>
      <c r="L49" s="73" t="str">
        <f>+Facturas!L114</f>
        <v>Cuota 2/5 - 17.5%</v>
      </c>
      <c r="M49" s="4" t="s">
        <v>615</v>
      </c>
      <c r="N49" s="3">
        <v>1</v>
      </c>
      <c r="O49" s="182">
        <f>+Facturas!P114</f>
        <v>4024.9999999999995</v>
      </c>
      <c r="P49" s="183">
        <f t="shared" si="25"/>
        <v>4024.9999999999995</v>
      </c>
      <c r="Q49" s="188">
        <f>+Facturas!D114</f>
        <v>45505</v>
      </c>
      <c r="R49" s="73" t="s">
        <v>612</v>
      </c>
      <c r="S49" s="29" t="s">
        <v>1052</v>
      </c>
    </row>
    <row r="50" spans="6:19" x14ac:dyDescent="0.3">
      <c r="F50" s="247" t="str">
        <f>+Facturas!Q115</f>
        <v>Cuenta 34: Activo intangible</v>
      </c>
      <c r="G50" s="3" t="s">
        <v>593</v>
      </c>
      <c r="H50" s="3">
        <f t="shared" ref="H50" si="37">+VLOOKUP(G50,$V$14:$Y$18,2,FALSE)</f>
        <v>20547121628</v>
      </c>
      <c r="I50" s="3" t="str">
        <f t="shared" ref="I50" si="38">+VLOOKUP(G50,$V$14:$Y$18,3,FALSE)</f>
        <v>194-2097981-0-25</v>
      </c>
      <c r="J50" s="3" t="str">
        <f t="shared" si="28"/>
        <v>BCP</v>
      </c>
      <c r="K50" s="181" t="str">
        <f>+CONCATENATE(Facturas!J115," (",Facturas!S115, ")")</f>
        <v>Ubicación de espacios y fallecidos (Comercial)</v>
      </c>
      <c r="L50" s="73" t="str">
        <f>+Facturas!L115</f>
        <v>Cuota 3/5 - 17.5%</v>
      </c>
      <c r="M50" s="4" t="s">
        <v>615</v>
      </c>
      <c r="N50" s="3">
        <v>1</v>
      </c>
      <c r="O50" s="182">
        <f>+Facturas!P115</f>
        <v>4024.9999999999995</v>
      </c>
      <c r="P50" s="183">
        <f t="shared" si="25"/>
        <v>4024.9999999999995</v>
      </c>
      <c r="Q50" s="188">
        <f>+Facturas!D115</f>
        <v>45536</v>
      </c>
      <c r="R50" s="73" t="s">
        <v>612</v>
      </c>
      <c r="S50" s="29" t="s">
        <v>1052</v>
      </c>
    </row>
    <row r="51" spans="6:19" x14ac:dyDescent="0.3">
      <c r="F51" s="247" t="str">
        <f>+Facturas!Q116</f>
        <v>Cuenta 34: Activo intangible</v>
      </c>
      <c r="G51" s="3" t="s">
        <v>593</v>
      </c>
      <c r="H51" s="3">
        <f t="shared" ref="H51" si="39">+VLOOKUP(G51,$V$14:$Y$17,2,FALSE)</f>
        <v>20547121628</v>
      </c>
      <c r="I51" s="3" t="str">
        <f t="shared" ref="I51" si="40">+VLOOKUP(G51,$V$14:$Y$17,3,FALSE)</f>
        <v>194-2097981-0-25</v>
      </c>
      <c r="J51" s="3" t="str">
        <f t="shared" ref="J51:J53" si="41">+VLOOKUP(G51,$V$14:$Y$16,4)</f>
        <v>BCP</v>
      </c>
      <c r="K51" s="181" t="str">
        <f>+CONCATENATE(Facturas!J116," (",Facturas!S116, ")")</f>
        <v>Ubicación de espacios y fallecidos (Comercial)</v>
      </c>
      <c r="L51" s="73" t="str">
        <f>+Facturas!L116</f>
        <v>Cuota 4/5 - 17.5%</v>
      </c>
      <c r="M51" s="4" t="s">
        <v>615</v>
      </c>
      <c r="N51" s="3">
        <v>1</v>
      </c>
      <c r="O51" s="182">
        <f>+Facturas!P116</f>
        <v>4024.9999999999995</v>
      </c>
      <c r="P51" s="183">
        <f t="shared" ref="P51:P52" si="42">N51*O51</f>
        <v>4024.9999999999995</v>
      </c>
      <c r="Q51" s="188">
        <f>+Facturas!D116</f>
        <v>45505</v>
      </c>
      <c r="R51" s="73" t="s">
        <v>612</v>
      </c>
      <c r="S51" s="29" t="s">
        <v>1052</v>
      </c>
    </row>
    <row r="52" spans="6:19" x14ac:dyDescent="0.3">
      <c r="F52" s="247" t="str">
        <f>+Facturas!Q117</f>
        <v>Cuenta 34: Activo intangible</v>
      </c>
      <c r="G52" s="3" t="s">
        <v>593</v>
      </c>
      <c r="H52" s="3">
        <f t="shared" ref="H52:H53" si="43">+VLOOKUP(G52,$V$14:$Y$18,2,FALSE)</f>
        <v>20547121628</v>
      </c>
      <c r="I52" s="3" t="str">
        <f t="shared" ref="I52:I53" si="44">+VLOOKUP(G52,$V$14:$Y$18,3,FALSE)</f>
        <v>194-2097981-0-25</v>
      </c>
      <c r="J52" s="3" t="str">
        <f t="shared" si="41"/>
        <v>BCP</v>
      </c>
      <c r="K52" s="181" t="str">
        <f>+CONCATENATE(Facturas!J117," (",Facturas!S117, ")")</f>
        <v>Ubicación de espacios y fallecidos (Comercial)</v>
      </c>
      <c r="L52" s="73" t="str">
        <f>+Facturas!L117</f>
        <v>Cuota 5/5 - 17.5%</v>
      </c>
      <c r="M52" s="4" t="s">
        <v>615</v>
      </c>
      <c r="N52" s="3">
        <v>1</v>
      </c>
      <c r="O52" s="182">
        <f>+Facturas!P117</f>
        <v>4024.9999999999995</v>
      </c>
      <c r="P52" s="183">
        <f t="shared" si="42"/>
        <v>4024.9999999999995</v>
      </c>
      <c r="Q52" s="188">
        <f>+Facturas!D117</f>
        <v>45536</v>
      </c>
      <c r="R52" s="73" t="s">
        <v>612</v>
      </c>
      <c r="S52" s="29" t="s">
        <v>1052</v>
      </c>
    </row>
    <row r="53" spans="6:19" x14ac:dyDescent="0.3">
      <c r="F53" s="247" t="s">
        <v>321</v>
      </c>
      <c r="G53" s="3" t="s">
        <v>593</v>
      </c>
      <c r="H53" s="3">
        <f t="shared" si="43"/>
        <v>20547121628</v>
      </c>
      <c r="I53" s="3" t="str">
        <f t="shared" si="44"/>
        <v>194-2097981-0-25</v>
      </c>
      <c r="J53" s="3" t="str">
        <f t="shared" si="41"/>
        <v>BCP</v>
      </c>
      <c r="K53" s="181" t="s">
        <v>777</v>
      </c>
      <c r="L53" s="73" t="s">
        <v>447</v>
      </c>
      <c r="M53" s="4" t="s">
        <v>615</v>
      </c>
      <c r="N53" s="3">
        <v>1</v>
      </c>
      <c r="O53" s="182">
        <v>5100</v>
      </c>
      <c r="P53" s="183">
        <v>5100</v>
      </c>
      <c r="Q53" s="188">
        <f>+Facturas!D118</f>
        <v>45329</v>
      </c>
      <c r="R53" s="73" t="s">
        <v>778</v>
      </c>
      <c r="S53" s="29" t="s">
        <v>1052</v>
      </c>
    </row>
    <row r="54" spans="6:19" x14ac:dyDescent="0.3">
      <c r="F54" s="247" t="s">
        <v>321</v>
      </c>
      <c r="G54" s="3" t="s">
        <v>593</v>
      </c>
      <c r="H54" s="3">
        <f t="shared" ref="H54:H62" si="45">+VLOOKUP(G54,$V$14:$Y$18,2,FALSE)</f>
        <v>20547121628</v>
      </c>
      <c r="I54" s="3" t="str">
        <f t="shared" ref="I54:I62" si="46">+VLOOKUP(G54,$V$14:$Y$18,3,FALSE)</f>
        <v>194-2097981-0-25</v>
      </c>
      <c r="J54" s="3" t="str">
        <f t="shared" ref="J54:J62" si="47">+VLOOKUP(G54,$V$14:$Y$16,4)</f>
        <v>BCP</v>
      </c>
      <c r="K54" s="181" t="s">
        <v>777</v>
      </c>
      <c r="L54" s="73" t="s">
        <v>461</v>
      </c>
      <c r="M54" s="4" t="s">
        <v>615</v>
      </c>
      <c r="N54" s="3">
        <v>1</v>
      </c>
      <c r="O54" s="182">
        <v>5100</v>
      </c>
      <c r="P54" s="183">
        <v>5100</v>
      </c>
      <c r="Q54" s="188">
        <f>+Facturas!D119</f>
        <v>45352</v>
      </c>
      <c r="R54" s="73" t="s">
        <v>778</v>
      </c>
      <c r="S54" s="29" t="s">
        <v>1052</v>
      </c>
    </row>
    <row r="55" spans="6:19" x14ac:dyDescent="0.3">
      <c r="F55" s="247" t="s">
        <v>321</v>
      </c>
      <c r="G55" s="3" t="s">
        <v>593</v>
      </c>
      <c r="H55" s="3">
        <f t="shared" si="45"/>
        <v>20547121628</v>
      </c>
      <c r="I55" s="3" t="str">
        <f t="shared" si="46"/>
        <v>194-2097981-0-25</v>
      </c>
      <c r="J55" s="3" t="str">
        <f t="shared" si="47"/>
        <v>BCP</v>
      </c>
      <c r="K55" s="181" t="s">
        <v>777</v>
      </c>
      <c r="L55" s="73" t="s">
        <v>465</v>
      </c>
      <c r="M55" s="4" t="s">
        <v>615</v>
      </c>
      <c r="N55" s="3">
        <v>1</v>
      </c>
      <c r="O55" s="182">
        <v>5100</v>
      </c>
      <c r="P55" s="183">
        <v>5100</v>
      </c>
      <c r="Q55" s="188">
        <f>+Facturas!D120</f>
        <v>45352</v>
      </c>
      <c r="R55" s="73" t="s">
        <v>778</v>
      </c>
      <c r="S55" s="29" t="s">
        <v>1052</v>
      </c>
    </row>
    <row r="56" spans="6:19" x14ac:dyDescent="0.3">
      <c r="F56" s="247" t="s">
        <v>321</v>
      </c>
      <c r="G56" s="3" t="s">
        <v>593</v>
      </c>
      <c r="H56" s="3">
        <f t="shared" si="45"/>
        <v>20547121628</v>
      </c>
      <c r="I56" s="3" t="str">
        <f t="shared" si="46"/>
        <v>194-2097981-0-25</v>
      </c>
      <c r="J56" s="3" t="str">
        <f t="shared" si="47"/>
        <v>BCP</v>
      </c>
      <c r="K56" s="181" t="s">
        <v>777</v>
      </c>
      <c r="L56" s="73" t="s">
        <v>477</v>
      </c>
      <c r="M56" s="4" t="s">
        <v>615</v>
      </c>
      <c r="N56" s="3">
        <v>1</v>
      </c>
      <c r="O56" s="182">
        <v>5100</v>
      </c>
      <c r="P56" s="183">
        <v>5100</v>
      </c>
      <c r="Q56" s="188">
        <f>+Facturas!D121</f>
        <v>45383</v>
      </c>
      <c r="R56" s="73" t="s">
        <v>778</v>
      </c>
      <c r="S56" s="29" t="s">
        <v>1052</v>
      </c>
    </row>
    <row r="57" spans="6:19" x14ac:dyDescent="0.3">
      <c r="F57" s="247" t="s">
        <v>321</v>
      </c>
      <c r="G57" s="3" t="s">
        <v>593</v>
      </c>
      <c r="H57" s="3">
        <f t="shared" si="45"/>
        <v>20547121628</v>
      </c>
      <c r="I57" s="3" t="str">
        <f t="shared" si="46"/>
        <v>194-2097981-0-25</v>
      </c>
      <c r="J57" s="3" t="str">
        <f t="shared" si="47"/>
        <v>BCP</v>
      </c>
      <c r="K57" s="181" t="s">
        <v>777</v>
      </c>
      <c r="L57" s="73" t="s">
        <v>486</v>
      </c>
      <c r="M57" s="4" t="s">
        <v>615</v>
      </c>
      <c r="N57" s="3">
        <v>1</v>
      </c>
      <c r="O57" s="182">
        <v>5100</v>
      </c>
      <c r="P57" s="183">
        <v>5100</v>
      </c>
      <c r="Q57" s="188">
        <f>+Facturas!D122</f>
        <v>45444</v>
      </c>
      <c r="R57" s="73" t="s">
        <v>778</v>
      </c>
      <c r="S57" s="29" t="s">
        <v>1052</v>
      </c>
    </row>
    <row r="58" spans="6:19" x14ac:dyDescent="0.3">
      <c r="F58" s="247" t="s">
        <v>321</v>
      </c>
      <c r="G58" s="3" t="s">
        <v>593</v>
      </c>
      <c r="H58" s="3">
        <f t="shared" si="45"/>
        <v>20547121628</v>
      </c>
      <c r="I58" s="3" t="str">
        <f t="shared" si="46"/>
        <v>194-2097981-0-25</v>
      </c>
      <c r="J58" s="3" t="str">
        <f t="shared" si="47"/>
        <v>BCP</v>
      </c>
      <c r="K58" s="181" t="s">
        <v>777</v>
      </c>
      <c r="L58" s="73" t="s">
        <v>496</v>
      </c>
      <c r="M58" s="4" t="s">
        <v>615</v>
      </c>
      <c r="N58" s="3">
        <v>1</v>
      </c>
      <c r="O58" s="182">
        <v>5100</v>
      </c>
      <c r="P58" s="183">
        <v>5100</v>
      </c>
      <c r="Q58" s="188">
        <f>+Facturas!D123</f>
        <v>45474</v>
      </c>
      <c r="R58" s="73" t="s">
        <v>778</v>
      </c>
      <c r="S58" s="29" t="s">
        <v>1052</v>
      </c>
    </row>
    <row r="59" spans="6:19" x14ac:dyDescent="0.3">
      <c r="F59" s="247" t="s">
        <v>321</v>
      </c>
      <c r="G59" s="3" t="s">
        <v>593</v>
      </c>
      <c r="H59" s="3">
        <f t="shared" si="45"/>
        <v>20547121628</v>
      </c>
      <c r="I59" s="3" t="str">
        <f t="shared" si="46"/>
        <v>194-2097981-0-25</v>
      </c>
      <c r="J59" s="3" t="str">
        <f t="shared" si="47"/>
        <v>BCP</v>
      </c>
      <c r="K59" s="181" t="s">
        <v>777</v>
      </c>
      <c r="L59" s="73" t="s">
        <v>497</v>
      </c>
      <c r="M59" s="4" t="s">
        <v>615</v>
      </c>
      <c r="N59" s="3">
        <v>1</v>
      </c>
      <c r="O59" s="182">
        <v>5100</v>
      </c>
      <c r="P59" s="183">
        <v>5100</v>
      </c>
      <c r="Q59" s="188">
        <f>+Facturas!D124</f>
        <v>45505</v>
      </c>
      <c r="R59" s="73" t="s">
        <v>778</v>
      </c>
      <c r="S59" s="29" t="s">
        <v>1052</v>
      </c>
    </row>
    <row r="60" spans="6:19" x14ac:dyDescent="0.3">
      <c r="F60" s="247" t="s">
        <v>321</v>
      </c>
      <c r="G60" s="3" t="s">
        <v>593</v>
      </c>
      <c r="H60" s="3">
        <f t="shared" si="45"/>
        <v>20547121628</v>
      </c>
      <c r="I60" s="3" t="str">
        <f t="shared" si="46"/>
        <v>194-2097981-0-25</v>
      </c>
      <c r="J60" s="3" t="str">
        <f t="shared" si="47"/>
        <v>BCP</v>
      </c>
      <c r="K60" s="181" t="s">
        <v>777</v>
      </c>
      <c r="L60" s="73" t="s">
        <v>498</v>
      </c>
      <c r="M60" s="4" t="s">
        <v>615</v>
      </c>
      <c r="N60" s="3">
        <v>1</v>
      </c>
      <c r="O60" s="182">
        <v>5100</v>
      </c>
      <c r="P60" s="183">
        <v>5100</v>
      </c>
      <c r="Q60" s="188">
        <f>+Facturas!D125</f>
        <v>45536</v>
      </c>
      <c r="R60" s="73" t="s">
        <v>778</v>
      </c>
      <c r="S60" s="29" t="s">
        <v>1052</v>
      </c>
    </row>
    <row r="61" spans="6:19" x14ac:dyDescent="0.3">
      <c r="F61" s="247" t="s">
        <v>321</v>
      </c>
      <c r="G61" s="3" t="s">
        <v>593</v>
      </c>
      <c r="H61" s="3">
        <f t="shared" si="45"/>
        <v>20547121628</v>
      </c>
      <c r="I61" s="3" t="str">
        <f t="shared" si="46"/>
        <v>194-2097981-0-25</v>
      </c>
      <c r="J61" s="3" t="str">
        <f t="shared" si="47"/>
        <v>BCP</v>
      </c>
      <c r="K61" s="181" t="s">
        <v>777</v>
      </c>
      <c r="L61" s="73" t="s">
        <v>499</v>
      </c>
      <c r="M61" s="4" t="s">
        <v>615</v>
      </c>
      <c r="N61" s="3">
        <v>1</v>
      </c>
      <c r="O61" s="182">
        <v>5100</v>
      </c>
      <c r="P61" s="183">
        <v>5100</v>
      </c>
      <c r="Q61" s="188">
        <f>+Facturas!D126</f>
        <v>45566</v>
      </c>
      <c r="R61" s="73" t="s">
        <v>778</v>
      </c>
      <c r="S61" s="29" t="s">
        <v>1052</v>
      </c>
    </row>
    <row r="62" spans="6:19" x14ac:dyDescent="0.3">
      <c r="F62" s="247" t="s">
        <v>321</v>
      </c>
      <c r="G62" s="3" t="s">
        <v>593</v>
      </c>
      <c r="H62" s="3">
        <f t="shared" si="45"/>
        <v>20547121628</v>
      </c>
      <c r="I62" s="3" t="str">
        <f t="shared" si="46"/>
        <v>194-2097981-0-25</v>
      </c>
      <c r="J62" s="3" t="str">
        <f t="shared" si="47"/>
        <v>BCP</v>
      </c>
      <c r="K62" s="181" t="s">
        <v>777</v>
      </c>
      <c r="L62" s="73" t="s">
        <v>779</v>
      </c>
      <c r="M62" s="4" t="s">
        <v>615</v>
      </c>
      <c r="N62" s="3">
        <v>1</v>
      </c>
      <c r="O62" s="182">
        <v>5100</v>
      </c>
      <c r="P62" s="183">
        <v>5100</v>
      </c>
      <c r="Q62" s="188">
        <f>+Facturas!D127</f>
        <v>45597</v>
      </c>
      <c r="R62" s="73" t="s">
        <v>778</v>
      </c>
      <c r="S62" s="29" t="s">
        <v>1052</v>
      </c>
    </row>
    <row r="63" spans="6:19" x14ac:dyDescent="0.3">
      <c r="F63" s="247" t="s">
        <v>321</v>
      </c>
      <c r="G63" s="3" t="s">
        <v>593</v>
      </c>
      <c r="H63" s="3">
        <f t="shared" ref="H63:H65" si="48">+VLOOKUP(G63,$V$14:$Y$18,2,FALSE)</f>
        <v>20547121628</v>
      </c>
      <c r="I63" s="3" t="str">
        <f t="shared" ref="I63:I64" si="49">+VLOOKUP(G63,$V$14:$Y$18,3,FALSE)</f>
        <v>194-2097981-0-25</v>
      </c>
      <c r="J63" s="3" t="str">
        <f t="shared" ref="J63:J65" si="50">+VLOOKUP(G63,$V$14:$Y$16,4)</f>
        <v>BCP</v>
      </c>
      <c r="K63" s="181" t="s">
        <v>777</v>
      </c>
      <c r="L63" s="73" t="s">
        <v>501</v>
      </c>
      <c r="M63" s="4" t="s">
        <v>615</v>
      </c>
      <c r="N63" s="3">
        <v>1</v>
      </c>
      <c r="O63" s="182">
        <v>5100</v>
      </c>
      <c r="P63" s="183">
        <v>5100</v>
      </c>
      <c r="Q63" s="188">
        <f>+Facturas!D128</f>
        <v>45627</v>
      </c>
      <c r="R63" s="73" t="s">
        <v>778</v>
      </c>
      <c r="S63" s="29" t="s">
        <v>1052</v>
      </c>
    </row>
    <row r="64" spans="6:19" x14ac:dyDescent="0.3">
      <c r="F64" s="247" t="s">
        <v>321</v>
      </c>
      <c r="G64" s="3" t="s">
        <v>593</v>
      </c>
      <c r="H64" s="3">
        <f t="shared" si="48"/>
        <v>20547121628</v>
      </c>
      <c r="I64" s="3" t="str">
        <f t="shared" si="49"/>
        <v>194-2097981-0-25</v>
      </c>
      <c r="J64" s="3" t="str">
        <f t="shared" si="50"/>
        <v>BCP</v>
      </c>
      <c r="K64" s="181" t="s">
        <v>777</v>
      </c>
      <c r="L64" s="73" t="s">
        <v>502</v>
      </c>
      <c r="M64" s="4" t="s">
        <v>615</v>
      </c>
      <c r="N64" s="3">
        <v>1</v>
      </c>
      <c r="O64" s="182">
        <v>5100</v>
      </c>
      <c r="P64" s="183">
        <v>5100</v>
      </c>
      <c r="Q64" s="188">
        <f>+Facturas!D129</f>
        <v>45658</v>
      </c>
      <c r="R64" s="73" t="s">
        <v>778</v>
      </c>
      <c r="S64" s="29" t="s">
        <v>1052</v>
      </c>
    </row>
    <row r="65" spans="6:19" x14ac:dyDescent="0.3">
      <c r="F65" s="247" t="s">
        <v>321</v>
      </c>
      <c r="G65" s="191" t="s">
        <v>649</v>
      </c>
      <c r="H65" s="192">
        <f t="shared" si="48"/>
        <v>20524719585</v>
      </c>
      <c r="I65" s="191" t="str">
        <f>+VLOOKUP(G65,$V$14:$Y$18,3,FALSE)</f>
        <v>194-20176075-0-72</v>
      </c>
      <c r="J65" s="191" t="str">
        <f t="shared" si="50"/>
        <v>BCP</v>
      </c>
      <c r="K65" s="193" t="s">
        <v>783</v>
      </c>
      <c r="L65" s="193" t="s">
        <v>618</v>
      </c>
      <c r="M65" s="4" t="s">
        <v>615</v>
      </c>
      <c r="N65" s="3">
        <v>1</v>
      </c>
      <c r="O65" s="182">
        <v>11000</v>
      </c>
      <c r="P65" s="182">
        <v>11000</v>
      </c>
      <c r="Q65" s="194">
        <v>45352</v>
      </c>
      <c r="R65" s="73" t="s">
        <v>784</v>
      </c>
      <c r="S65" s="29" t="s">
        <v>1052</v>
      </c>
    </row>
    <row r="66" spans="6:19" x14ac:dyDescent="0.3">
      <c r="F66" s="247" t="s">
        <v>321</v>
      </c>
      <c r="G66" s="191" t="s">
        <v>649</v>
      </c>
      <c r="H66" s="192">
        <f t="shared" ref="H66:H78" si="51">+VLOOKUP(G66,$V$14:$Y$18,2,FALSE)</f>
        <v>20524719585</v>
      </c>
      <c r="I66" s="191" t="str">
        <f>+VLOOKUP(G66,$V$14:$Y$18,3,FALSE)</f>
        <v>194-20176075-0-72</v>
      </c>
      <c r="J66" s="191" t="str">
        <f t="shared" ref="J66:J78" si="52">+VLOOKUP(G66,$V$14:$Y$16,4)</f>
        <v>BCP</v>
      </c>
      <c r="K66" s="193" t="s">
        <v>783</v>
      </c>
      <c r="L66" s="193" t="s">
        <v>619</v>
      </c>
      <c r="M66" s="4" t="s">
        <v>615</v>
      </c>
      <c r="N66" s="3">
        <v>1</v>
      </c>
      <c r="O66" s="182">
        <v>11000</v>
      </c>
      <c r="P66" s="182">
        <v>11000</v>
      </c>
      <c r="Q66" s="194">
        <v>45536</v>
      </c>
      <c r="R66" s="73" t="s">
        <v>784</v>
      </c>
      <c r="S66" s="29" t="s">
        <v>1052</v>
      </c>
    </row>
    <row r="67" spans="6:19" x14ac:dyDescent="0.3">
      <c r="F67" s="247" t="s">
        <v>384</v>
      </c>
      <c r="G67" s="191" t="s">
        <v>649</v>
      </c>
      <c r="H67" s="192">
        <f t="shared" si="51"/>
        <v>20524719585</v>
      </c>
      <c r="I67" s="191" t="str">
        <f>+VLOOKUP(G67,$V$14:$Y$18,3,FALSE)</f>
        <v>194-20176075-0-72</v>
      </c>
      <c r="J67" s="191" t="str">
        <f t="shared" si="52"/>
        <v>BCP</v>
      </c>
      <c r="K67" s="193" t="s">
        <v>786</v>
      </c>
      <c r="L67" s="193" t="s">
        <v>737</v>
      </c>
      <c r="M67" s="4" t="s">
        <v>615</v>
      </c>
      <c r="N67" s="3">
        <v>1</v>
      </c>
      <c r="O67" s="182">
        <v>650</v>
      </c>
      <c r="P67" s="182">
        <v>650</v>
      </c>
      <c r="Q67" s="194">
        <v>45352</v>
      </c>
      <c r="R67" s="195" t="s">
        <v>785</v>
      </c>
      <c r="S67" s="29" t="s">
        <v>1052</v>
      </c>
    </row>
    <row r="68" spans="6:19" x14ac:dyDescent="0.3">
      <c r="F68" s="247" t="s">
        <v>321</v>
      </c>
      <c r="G68" s="15" t="s">
        <v>600</v>
      </c>
      <c r="H68" s="192">
        <f t="shared" si="51"/>
        <v>20539909755</v>
      </c>
      <c r="I68" s="191" t="str">
        <f t="shared" ref="I68:I78" si="53">+VLOOKUP(G68,$V$14:$Y$18,3,FALSE)</f>
        <v>570-2362319-0-81</v>
      </c>
      <c r="J68" s="191" t="str">
        <f t="shared" si="52"/>
        <v>BCP</v>
      </c>
      <c r="K68" s="28" t="s">
        <v>792</v>
      </c>
      <c r="L68" s="193" t="s">
        <v>737</v>
      </c>
      <c r="M68" s="4" t="s">
        <v>615</v>
      </c>
      <c r="N68" s="3">
        <v>1</v>
      </c>
      <c r="O68" s="182">
        <v>985</v>
      </c>
      <c r="P68" s="182">
        <v>985</v>
      </c>
      <c r="Q68" s="186">
        <v>45352</v>
      </c>
      <c r="S68" s="29" t="s">
        <v>1052</v>
      </c>
    </row>
    <row r="69" spans="6:19" x14ac:dyDescent="0.3">
      <c r="F69" s="247" t="s">
        <v>384</v>
      </c>
      <c r="G69" s="15" t="s">
        <v>593</v>
      </c>
      <c r="H69" s="192">
        <f t="shared" si="51"/>
        <v>20547121628</v>
      </c>
      <c r="I69" s="191" t="str">
        <f t="shared" si="53"/>
        <v>194-2097981-0-25</v>
      </c>
      <c r="J69" s="191" t="str">
        <f t="shared" si="52"/>
        <v>BCP</v>
      </c>
      <c r="K69" s="28" t="s">
        <v>793</v>
      </c>
      <c r="L69" s="193" t="s">
        <v>618</v>
      </c>
      <c r="M69" s="4" t="s">
        <v>615</v>
      </c>
      <c r="N69" s="3">
        <v>1</v>
      </c>
      <c r="O69" s="182">
        <v>2490</v>
      </c>
      <c r="P69" s="182">
        <v>2490</v>
      </c>
      <c r="Q69" s="194">
        <v>45352</v>
      </c>
      <c r="S69" s="29" t="s">
        <v>1052</v>
      </c>
    </row>
    <row r="70" spans="6:19" x14ac:dyDescent="0.3">
      <c r="F70" s="247" t="s">
        <v>384</v>
      </c>
      <c r="G70" s="15" t="s">
        <v>593</v>
      </c>
      <c r="H70" s="192">
        <f t="shared" ref="H70" si="54">+VLOOKUP(G70,$V$14:$Y$18,2,FALSE)</f>
        <v>20547121628</v>
      </c>
      <c r="I70" s="191" t="str">
        <f t="shared" ref="I70" si="55">+VLOOKUP(G70,$V$14:$Y$18,3,FALSE)</f>
        <v>194-2097981-0-25</v>
      </c>
      <c r="J70" s="191" t="str">
        <f t="shared" ref="J70" si="56">+VLOOKUP(G70,$V$14:$Y$16,4)</f>
        <v>BCP</v>
      </c>
      <c r="K70" s="28" t="s">
        <v>793</v>
      </c>
      <c r="L70" s="193" t="s">
        <v>619</v>
      </c>
      <c r="M70" s="4" t="s">
        <v>615</v>
      </c>
      <c r="N70" s="3">
        <v>1</v>
      </c>
      <c r="O70" s="182">
        <v>2490</v>
      </c>
      <c r="P70" s="182">
        <v>2490</v>
      </c>
      <c r="Q70" s="194">
        <v>45352</v>
      </c>
      <c r="S70" s="29" t="s">
        <v>1052</v>
      </c>
    </row>
    <row r="71" spans="6:19" x14ac:dyDescent="0.3">
      <c r="F71" s="247" t="s">
        <v>384</v>
      </c>
      <c r="G71" s="15" t="s">
        <v>593</v>
      </c>
      <c r="H71" s="192">
        <f t="shared" si="51"/>
        <v>20547121628</v>
      </c>
      <c r="I71" s="191" t="str">
        <f t="shared" si="53"/>
        <v>194-2097981-0-25</v>
      </c>
      <c r="J71" s="191" t="str">
        <f t="shared" si="52"/>
        <v>BCP</v>
      </c>
      <c r="K71" s="28" t="s">
        <v>794</v>
      </c>
      <c r="L71" s="193" t="s">
        <v>618</v>
      </c>
      <c r="M71" s="4" t="s">
        <v>615</v>
      </c>
      <c r="N71" s="3">
        <v>1</v>
      </c>
      <c r="O71" s="182">
        <v>890</v>
      </c>
      <c r="P71" s="182">
        <v>890</v>
      </c>
      <c r="Q71" s="194">
        <v>45352</v>
      </c>
      <c r="S71" s="29" t="s">
        <v>1052</v>
      </c>
    </row>
    <row r="72" spans="6:19" x14ac:dyDescent="0.3">
      <c r="F72" s="247" t="s">
        <v>384</v>
      </c>
      <c r="G72" s="15" t="s">
        <v>593</v>
      </c>
      <c r="H72" s="192">
        <f t="shared" si="51"/>
        <v>20547121628</v>
      </c>
      <c r="I72" s="191" t="str">
        <f t="shared" si="53"/>
        <v>194-2097981-0-25</v>
      </c>
      <c r="J72" s="191" t="str">
        <f t="shared" si="52"/>
        <v>BCP</v>
      </c>
      <c r="K72" s="28" t="s">
        <v>794</v>
      </c>
      <c r="L72" s="193" t="s">
        <v>619</v>
      </c>
      <c r="M72" s="4" t="s">
        <v>615</v>
      </c>
      <c r="N72" s="3">
        <v>1</v>
      </c>
      <c r="O72" s="182">
        <v>890</v>
      </c>
      <c r="P72" s="182">
        <v>890</v>
      </c>
      <c r="Q72" s="186">
        <v>45352</v>
      </c>
      <c r="S72" s="29" t="s">
        <v>1052</v>
      </c>
    </row>
    <row r="73" spans="6:19" x14ac:dyDescent="0.3">
      <c r="F73" s="247" t="s">
        <v>384</v>
      </c>
      <c r="G73" s="15" t="s">
        <v>649</v>
      </c>
      <c r="H73" s="192">
        <f t="shared" si="51"/>
        <v>20524719585</v>
      </c>
      <c r="I73" s="191" t="str">
        <f t="shared" si="53"/>
        <v>194-20176075-0-72</v>
      </c>
      <c r="J73" s="191" t="str">
        <f t="shared" si="52"/>
        <v>BCP</v>
      </c>
      <c r="K73" s="28" t="s">
        <v>1015</v>
      </c>
      <c r="L73" s="28" t="s">
        <v>1016</v>
      </c>
      <c r="M73" s="28" t="s">
        <v>615</v>
      </c>
      <c r="N73" s="15">
        <v>1</v>
      </c>
      <c r="O73" s="182">
        <v>11960</v>
      </c>
      <c r="P73" s="182">
        <v>11960</v>
      </c>
      <c r="Q73" s="186">
        <v>45474</v>
      </c>
      <c r="S73" s="29" t="s">
        <v>1052</v>
      </c>
    </row>
    <row r="74" spans="6:19" x14ac:dyDescent="0.3">
      <c r="F74" s="247" t="s">
        <v>384</v>
      </c>
      <c r="G74" s="15" t="s">
        <v>649</v>
      </c>
      <c r="H74" s="192">
        <f t="shared" si="51"/>
        <v>20524719585</v>
      </c>
      <c r="I74" s="191" t="str">
        <f t="shared" si="53"/>
        <v>194-20176075-0-72</v>
      </c>
      <c r="J74" s="191" t="str">
        <f t="shared" si="52"/>
        <v>BCP</v>
      </c>
      <c r="K74" s="28" t="s">
        <v>1017</v>
      </c>
      <c r="L74" s="28" t="s">
        <v>1016</v>
      </c>
      <c r="M74" s="28" t="s">
        <v>615</v>
      </c>
      <c r="N74" s="15">
        <v>1</v>
      </c>
      <c r="O74" s="182">
        <v>650</v>
      </c>
      <c r="P74" s="182">
        <v>650</v>
      </c>
      <c r="Q74" s="186">
        <v>45474</v>
      </c>
      <c r="S74" s="29" t="s">
        <v>1052</v>
      </c>
    </row>
    <row r="75" spans="6:19" x14ac:dyDescent="0.3">
      <c r="F75" s="247" t="s">
        <v>384</v>
      </c>
      <c r="G75" s="15" t="s">
        <v>593</v>
      </c>
      <c r="H75" s="192">
        <f t="shared" si="51"/>
        <v>20547121628</v>
      </c>
      <c r="I75" s="191" t="str">
        <f t="shared" si="53"/>
        <v>194-2097981-0-25</v>
      </c>
      <c r="J75" s="191" t="str">
        <f t="shared" si="52"/>
        <v>BCP</v>
      </c>
      <c r="K75" s="28" t="s">
        <v>1027</v>
      </c>
      <c r="L75" s="28" t="s">
        <v>1016</v>
      </c>
      <c r="M75" s="28" t="s">
        <v>615</v>
      </c>
      <c r="N75" s="15">
        <v>1</v>
      </c>
      <c r="O75" s="182">
        <v>4340</v>
      </c>
      <c r="P75" s="182">
        <v>4340</v>
      </c>
      <c r="Q75" s="186">
        <v>45505</v>
      </c>
      <c r="S75" s="29" t="s">
        <v>1052</v>
      </c>
    </row>
    <row r="76" spans="6:19" x14ac:dyDescent="0.3">
      <c r="F76" s="247" t="s">
        <v>384</v>
      </c>
      <c r="G76" s="15" t="s">
        <v>593</v>
      </c>
      <c r="H76" s="192">
        <f t="shared" si="51"/>
        <v>20547121628</v>
      </c>
      <c r="I76" s="191" t="str">
        <f t="shared" si="53"/>
        <v>194-2097981-0-25</v>
      </c>
      <c r="J76" s="191" t="str">
        <f t="shared" si="52"/>
        <v>BCP</v>
      </c>
      <c r="K76" s="28" t="s">
        <v>1031</v>
      </c>
      <c r="L76" s="28" t="s">
        <v>394</v>
      </c>
      <c r="M76" s="28" t="s">
        <v>615</v>
      </c>
      <c r="N76" s="15">
        <v>1</v>
      </c>
      <c r="O76" s="182">
        <f>7640*30%</f>
        <v>2292</v>
      </c>
      <c r="P76" s="182">
        <f>7640*30%</f>
        <v>2292</v>
      </c>
      <c r="Q76" s="186">
        <v>45474</v>
      </c>
      <c r="S76" s="29" t="s">
        <v>1052</v>
      </c>
    </row>
    <row r="77" spans="6:19" x14ac:dyDescent="0.3">
      <c r="F77" s="247" t="s">
        <v>384</v>
      </c>
      <c r="G77" s="15" t="s">
        <v>593</v>
      </c>
      <c r="H77" s="192">
        <f t="shared" si="51"/>
        <v>20547121628</v>
      </c>
      <c r="I77" s="191" t="str">
        <f t="shared" si="53"/>
        <v>194-2097981-0-25</v>
      </c>
      <c r="J77" s="191" t="str">
        <f t="shared" si="52"/>
        <v>BCP</v>
      </c>
      <c r="K77" s="28" t="s">
        <v>1031</v>
      </c>
      <c r="L77" s="28" t="s">
        <v>412</v>
      </c>
      <c r="M77" s="28" t="s">
        <v>615</v>
      </c>
      <c r="N77" s="15">
        <v>1</v>
      </c>
      <c r="O77" s="182">
        <f>7640*35%</f>
        <v>2674</v>
      </c>
      <c r="P77" s="182">
        <f>7640*35%</f>
        <v>2674</v>
      </c>
      <c r="Q77" s="186">
        <v>45505</v>
      </c>
      <c r="S77" s="29" t="s">
        <v>1052</v>
      </c>
    </row>
    <row r="78" spans="6:19" x14ac:dyDescent="0.3">
      <c r="F78" s="247" t="s">
        <v>384</v>
      </c>
      <c r="G78" s="15" t="s">
        <v>593</v>
      </c>
      <c r="H78" s="192">
        <f t="shared" si="51"/>
        <v>20547121628</v>
      </c>
      <c r="I78" s="191" t="str">
        <f t="shared" si="53"/>
        <v>194-2097981-0-25</v>
      </c>
      <c r="J78" s="191" t="str">
        <f t="shared" si="52"/>
        <v>BCP</v>
      </c>
      <c r="K78" s="28" t="s">
        <v>1031</v>
      </c>
      <c r="L78" s="28" t="s">
        <v>420</v>
      </c>
      <c r="M78" s="28" t="s">
        <v>615</v>
      </c>
      <c r="N78" s="15">
        <v>1</v>
      </c>
      <c r="O78" s="182">
        <f>7640*35%</f>
        <v>2674</v>
      </c>
      <c r="P78" s="182">
        <f>7640*35%</f>
        <v>2674</v>
      </c>
      <c r="Q78" s="186">
        <v>45536</v>
      </c>
      <c r="S78" s="29" t="s">
        <v>1052</v>
      </c>
    </row>
    <row r="79" spans="6:19" ht="28.8" x14ac:dyDescent="0.3">
      <c r="F79" s="247" t="str">
        <f>+Facturas!Q73</f>
        <v>Gasto</v>
      </c>
      <c r="G79" s="121" t="s">
        <v>593</v>
      </c>
      <c r="H79" s="121">
        <f>+VLOOKUP(G79,$V$14:$Y$16,2,FALSE)</f>
        <v>20547121628</v>
      </c>
      <c r="I79" s="121" t="str">
        <f>+VLOOKUP(G79,$V$14:$Y$16,3,FALSE)</f>
        <v>194-2097981-0-25</v>
      </c>
      <c r="J79" s="121" t="str">
        <f>+VLOOKUP(G79,$V$14:$Y$16,4)</f>
        <v>BCP</v>
      </c>
      <c r="K79" s="126" t="str">
        <f>+CONCATENATE(Facturas!J72," (",Facturas!S72, ")")</f>
        <v>Mantenimiento ERP Exactus // del 20/10/23 al 20/10/24 (Operaciones)</v>
      </c>
      <c r="L79" s="124" t="str">
        <f>+Facturas!L72</f>
        <v>Cuota única</v>
      </c>
      <c r="M79" s="122" t="s">
        <v>615</v>
      </c>
      <c r="N79" s="121">
        <v>1</v>
      </c>
      <c r="O79" s="121">
        <v>9280</v>
      </c>
      <c r="P79" s="121">
        <f>N79*O79</f>
        <v>9280</v>
      </c>
      <c r="Q79" s="189"/>
      <c r="R79" s="123" t="s">
        <v>612</v>
      </c>
    </row>
    <row r="80" spans="6:19" x14ac:dyDescent="0.3">
      <c r="F80" s="247" t="s">
        <v>384</v>
      </c>
      <c r="G80" s="121" t="s">
        <v>593</v>
      </c>
      <c r="H80" s="121">
        <f>+VLOOKUP(G80,$V$14:$Y$16,2,FALSE)</f>
        <v>20547121628</v>
      </c>
      <c r="I80" s="121" t="str">
        <f>+VLOOKUP(G80,$V$14:$Y$16,3,FALSE)</f>
        <v>194-2097981-0-25</v>
      </c>
      <c r="J80" s="121" t="str">
        <f>+VLOOKUP(G80,$V$14:$Y$16,4)</f>
        <v>BCP</v>
      </c>
      <c r="K80" s="126" t="s">
        <v>1050</v>
      </c>
      <c r="L80" s="251" t="s">
        <v>390</v>
      </c>
      <c r="M80" s="122" t="s">
        <v>615</v>
      </c>
      <c r="N80" s="121">
        <v>1</v>
      </c>
      <c r="O80" s="252">
        <v>2560</v>
      </c>
      <c r="P80" s="252">
        <v>2560</v>
      </c>
      <c r="Q80" s="186">
        <v>45505</v>
      </c>
      <c r="R80" s="123"/>
      <c r="S80" s="29" t="s">
        <v>1051</v>
      </c>
    </row>
    <row r="81" spans="6:19" x14ac:dyDescent="0.3">
      <c r="F81" s="247" t="s">
        <v>384</v>
      </c>
      <c r="G81" s="15" t="s">
        <v>593</v>
      </c>
      <c r="H81" s="15">
        <f>+VLOOKUP(G81,$V$14:$Y$16,2,FALSE)</f>
        <v>20547121628</v>
      </c>
      <c r="I81" s="15" t="str">
        <f>+VLOOKUP(G81,$V$14:$Y$16,3,FALSE)</f>
        <v>194-2097981-0-25</v>
      </c>
      <c r="J81" s="15" t="str">
        <f>+VLOOKUP(G81,$V$14:$Y$16,4)</f>
        <v>BCP</v>
      </c>
      <c r="K81" s="28" t="s">
        <v>1045</v>
      </c>
      <c r="L81" s="28" t="s">
        <v>390</v>
      </c>
      <c r="M81" s="28" t="s">
        <v>615</v>
      </c>
      <c r="N81" s="15">
        <v>1</v>
      </c>
      <c r="O81" s="182">
        <v>1280</v>
      </c>
      <c r="P81" s="182">
        <v>1280</v>
      </c>
      <c r="Q81" s="186">
        <v>45505</v>
      </c>
      <c r="S81" s="29" t="s">
        <v>462</v>
      </c>
    </row>
    <row r="82" spans="6:19" x14ac:dyDescent="0.3">
      <c r="F82" s="247" t="s">
        <v>384</v>
      </c>
      <c r="G82" s="15" t="s">
        <v>593</v>
      </c>
      <c r="H82" s="15">
        <f>+VLOOKUP(G82,$V$14:$Y$16,2,FALSE)</f>
        <v>20547121628</v>
      </c>
      <c r="I82" s="15" t="str">
        <f>+VLOOKUP(G82,$V$14:$Y$16,3,FALSE)</f>
        <v>194-2097981-0-25</v>
      </c>
      <c r="J82" s="15" t="str">
        <f>+VLOOKUP(G82,$V$14:$Y$16,4)</f>
        <v>BCP</v>
      </c>
      <c r="K82" s="28" t="s">
        <v>1046</v>
      </c>
      <c r="L82" s="193" t="s">
        <v>416</v>
      </c>
      <c r="M82" s="28" t="s">
        <v>615</v>
      </c>
      <c r="N82" s="15">
        <v>1</v>
      </c>
      <c r="O82" s="245">
        <f>36000*30%</f>
        <v>10800</v>
      </c>
      <c r="P82" s="245">
        <f>36000*30%</f>
        <v>10800</v>
      </c>
      <c r="Q82" s="186">
        <v>45505</v>
      </c>
      <c r="S82" s="29" t="s">
        <v>462</v>
      </c>
    </row>
    <row r="83" spans="6:19" x14ac:dyDescent="0.3">
      <c r="F83" s="247" t="s">
        <v>384</v>
      </c>
      <c r="G83" s="15" t="s">
        <v>593</v>
      </c>
      <c r="H83" s="15">
        <f t="shared" ref="H83:H85" si="57">+VLOOKUP(G83,$V$14:$Y$16,2,FALSE)</f>
        <v>20547121628</v>
      </c>
      <c r="I83" s="15" t="str">
        <f t="shared" ref="I83:I84" si="58">+VLOOKUP(G83,$V$14:$Y$16,3,FALSE)</f>
        <v>194-2097981-0-25</v>
      </c>
      <c r="J83" s="15" t="str">
        <f t="shared" ref="J83:J84" si="59">+VLOOKUP(G83,$V$14:$Y$16,4)</f>
        <v>BCP</v>
      </c>
      <c r="K83" s="28" t="s">
        <v>1046</v>
      </c>
      <c r="L83" s="193" t="s">
        <v>1047</v>
      </c>
      <c r="M83" s="28" t="s">
        <v>615</v>
      </c>
      <c r="N83" s="15">
        <v>1</v>
      </c>
      <c r="O83" s="245">
        <f>25200/3</f>
        <v>8400</v>
      </c>
      <c r="P83" s="245">
        <f>25200/3</f>
        <v>8400</v>
      </c>
      <c r="Q83" s="186">
        <v>45536</v>
      </c>
      <c r="S83" s="29" t="s">
        <v>462</v>
      </c>
    </row>
    <row r="84" spans="6:19" x14ac:dyDescent="0.3">
      <c r="F84" s="247" t="s">
        <v>384</v>
      </c>
      <c r="G84" s="15" t="s">
        <v>593</v>
      </c>
      <c r="H84" s="15">
        <f t="shared" si="57"/>
        <v>20547121628</v>
      </c>
      <c r="I84" s="15" t="str">
        <f t="shared" si="58"/>
        <v>194-2097981-0-25</v>
      </c>
      <c r="J84" s="15" t="str">
        <f t="shared" si="59"/>
        <v>BCP</v>
      </c>
      <c r="K84" s="28" t="s">
        <v>1046</v>
      </c>
      <c r="L84" s="193" t="s">
        <v>1048</v>
      </c>
      <c r="M84" s="28" t="s">
        <v>615</v>
      </c>
      <c r="N84" s="15">
        <v>1</v>
      </c>
      <c r="O84" s="245">
        <f t="shared" ref="O84:P85" si="60">25200/3</f>
        <v>8400</v>
      </c>
      <c r="P84" s="245">
        <f t="shared" si="60"/>
        <v>8400</v>
      </c>
      <c r="Q84" s="186">
        <v>45566</v>
      </c>
      <c r="S84" s="29" t="s">
        <v>462</v>
      </c>
    </row>
    <row r="85" spans="6:19" x14ac:dyDescent="0.3">
      <c r="F85" s="247" t="s">
        <v>384</v>
      </c>
      <c r="G85" s="15" t="s">
        <v>593</v>
      </c>
      <c r="H85" s="15">
        <f t="shared" si="57"/>
        <v>20547121628</v>
      </c>
      <c r="I85" s="15" t="str">
        <f t="shared" ref="I85" si="61">+VLOOKUP(G85,$V$14:$Y$16,3,FALSE)</f>
        <v>194-2097981-0-25</v>
      </c>
      <c r="J85" s="15" t="str">
        <f t="shared" ref="J85" si="62">+VLOOKUP(G85,$V$14:$Y$16,4)</f>
        <v>BCP</v>
      </c>
      <c r="K85" s="28" t="s">
        <v>1046</v>
      </c>
      <c r="L85" s="193" t="s">
        <v>1049</v>
      </c>
      <c r="M85" s="28" t="s">
        <v>615</v>
      </c>
      <c r="N85" s="15">
        <v>1</v>
      </c>
      <c r="O85" s="245">
        <f t="shared" si="60"/>
        <v>8400</v>
      </c>
      <c r="P85" s="245">
        <f t="shared" si="60"/>
        <v>8400</v>
      </c>
      <c r="Q85" s="186">
        <v>45597</v>
      </c>
      <c r="S85" s="29" t="s">
        <v>462</v>
      </c>
    </row>
    <row r="86" spans="6:19" x14ac:dyDescent="0.3">
      <c r="O86" s="245"/>
    </row>
    <row r="87" spans="6:19" x14ac:dyDescent="0.3">
      <c r="O87" s="245"/>
    </row>
    <row r="89" spans="6:19" x14ac:dyDescent="0.3">
      <c r="P89" s="245"/>
    </row>
  </sheetData>
  <phoneticPr fontId="8" type="noConversion"/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DD053-031F-4EC3-90F7-45E57C9533E4}">
  <sheetPr>
    <tabColor rgb="FF7030A0"/>
  </sheetPr>
  <dimension ref="A1:T32"/>
  <sheetViews>
    <sheetView showGridLines="0" topLeftCell="J1" zoomScale="88" workbookViewId="0">
      <selection activeCell="G40" sqref="G40"/>
    </sheetView>
  </sheetViews>
  <sheetFormatPr baseColWidth="10" defaultRowHeight="14.4" x14ac:dyDescent="0.3"/>
  <cols>
    <col min="2" max="2" width="11.44140625" style="15" customWidth="1"/>
    <col min="3" max="3" width="6.33203125" style="15" customWidth="1"/>
    <col min="4" max="4" width="13.5546875" style="15" customWidth="1"/>
    <col min="5" max="5" width="26" style="15" bestFit="1" customWidth="1"/>
    <col min="6" max="6" width="12" style="15" bestFit="1" customWidth="1"/>
    <col min="7" max="7" width="27.88671875" style="15" bestFit="1" customWidth="1"/>
    <col min="8" max="8" width="16.33203125" style="15" bestFit="1" customWidth="1"/>
    <col min="9" max="9" width="7.6640625" style="15" customWidth="1"/>
    <col min="10" max="10" width="41.33203125" style="28" customWidth="1"/>
    <col min="11" max="11" width="10.5546875" style="15" customWidth="1"/>
    <col min="12" max="12" width="17.44140625" style="15" customWidth="1"/>
    <col min="13" max="13" width="11.44140625" style="15"/>
    <col min="14" max="14" width="13.44140625" style="30" customWidth="1"/>
    <col min="15" max="16" width="11.44140625" style="29"/>
    <col min="18" max="18" width="12" bestFit="1" customWidth="1"/>
    <col min="19" max="19" width="16.33203125" bestFit="1" customWidth="1"/>
  </cols>
  <sheetData>
    <row r="1" spans="1:20" ht="43.2" x14ac:dyDescent="0.3">
      <c r="B1"/>
      <c r="C1" s="119" t="s">
        <v>580</v>
      </c>
      <c r="D1" s="119" t="s">
        <v>581</v>
      </c>
      <c r="E1" s="119" t="s">
        <v>582</v>
      </c>
      <c r="F1" s="119" t="s">
        <v>583</v>
      </c>
      <c r="G1" s="119" t="s">
        <v>584</v>
      </c>
      <c r="H1" s="119" t="s">
        <v>585</v>
      </c>
      <c r="I1" s="119" t="s">
        <v>586</v>
      </c>
      <c r="J1" s="119" t="s">
        <v>587</v>
      </c>
      <c r="K1" s="119" t="s">
        <v>588</v>
      </c>
      <c r="L1" s="119" t="s">
        <v>589</v>
      </c>
      <c r="M1" s="119" t="s">
        <v>590</v>
      </c>
      <c r="N1" s="119" t="s">
        <v>591</v>
      </c>
      <c r="Q1" s="119" t="s">
        <v>584</v>
      </c>
      <c r="R1" s="119" t="s">
        <v>583</v>
      </c>
      <c r="S1" s="119" t="s">
        <v>585</v>
      </c>
      <c r="T1" s="119" t="s">
        <v>586</v>
      </c>
    </row>
    <row r="2" spans="1:20" x14ac:dyDescent="0.3">
      <c r="A2" t="s">
        <v>578</v>
      </c>
      <c r="B2"/>
      <c r="C2" s="15" t="s">
        <v>592</v>
      </c>
      <c r="D2" s="15" t="s">
        <v>243</v>
      </c>
      <c r="E2" s="15">
        <f>VLOOKUP(A2,Tabla2[[Factura]:[Cuenta]],10,FALSE)</f>
        <v>5100</v>
      </c>
      <c r="F2" s="15">
        <f>VLOOKUP(G2,Q:T,2,0)</f>
        <v>20547121628</v>
      </c>
      <c r="G2" s="15" t="s">
        <v>593</v>
      </c>
      <c r="H2" s="15" t="str">
        <f>VLOOKUP(G2,Q:T,3,0)</f>
        <v>194-2097981-0-25</v>
      </c>
      <c r="I2" s="15" t="str">
        <f t="shared" ref="I2:I11" si="0">VLOOKUP(G2,Q:T,4,0)</f>
        <v>BCP</v>
      </c>
      <c r="J2" s="28">
        <f>VLOOKUP(A2,Tabla2[[Factura]:[Proyecto]],3,FALSE)</f>
        <v>0</v>
      </c>
      <c r="K2" s="15">
        <v>1</v>
      </c>
      <c r="L2" s="15">
        <f>VLOOKUP(A2,Tabla2[[Factura]:[Detalle cuota]],5,)</f>
        <v>7</v>
      </c>
      <c r="M2" s="15" t="str">
        <f>VLOOKUP(A2,Tabla2[[Factura]:[Cuota]],6,FALSE)</f>
        <v>Cuota 7/12 (Ago)</v>
      </c>
      <c r="N2" s="15">
        <f>VLOOKUP(A2,Tabla2[[Factura]:[Total cuotas]],7,FALSE)</f>
        <v>5100</v>
      </c>
      <c r="Q2" s="30" t="s">
        <v>593</v>
      </c>
      <c r="R2" s="30">
        <v>20547121628</v>
      </c>
      <c r="S2" s="30" t="s">
        <v>595</v>
      </c>
      <c r="T2" s="30" t="s">
        <v>594</v>
      </c>
    </row>
    <row r="3" spans="1:20" x14ac:dyDescent="0.3">
      <c r="A3" t="s">
        <v>579</v>
      </c>
      <c r="B3"/>
      <c r="C3" s="15" t="s">
        <v>592</v>
      </c>
      <c r="D3" s="15" t="s">
        <v>243</v>
      </c>
      <c r="E3" s="15">
        <f>VLOOKUP(A3,Tabla2[[Factura]:[Cuenta]],10,FALSE)</f>
        <v>5460</v>
      </c>
      <c r="F3" s="15">
        <f>VLOOKUP(G3,Q:T,2,0)</f>
        <v>20547121628</v>
      </c>
      <c r="G3" s="15" t="s">
        <v>593</v>
      </c>
      <c r="H3" s="15" t="str">
        <f>VLOOKUP(G3,Q:T,3,0)</f>
        <v>194-2097981-0-25</v>
      </c>
      <c r="I3" s="15" t="str">
        <f t="shared" si="0"/>
        <v>BCP</v>
      </c>
      <c r="J3" s="28" t="str">
        <f>VLOOKUP(A3,Tabla2[[Factura]:[Proyecto]],3,FALSE)</f>
        <v>OS0000896</v>
      </c>
      <c r="K3" s="15">
        <v>1</v>
      </c>
      <c r="L3" s="15">
        <f>VLOOKUP(A3,Tabla2[[Factura]:[Detalle cuota]],5,)</f>
        <v>4</v>
      </c>
      <c r="M3" s="15" t="str">
        <f>VLOOKUP(A3,Tabla2[[Factura]:[Cuota]],6,FALSE)</f>
        <v>Cuota 4/6 - 70% / 5</v>
      </c>
      <c r="N3" s="15">
        <f>VLOOKUP(A3,Tabla2[[Factura]:[Total cuotas]],7,FALSE)</f>
        <v>5460</v>
      </c>
      <c r="Q3" s="30" t="s">
        <v>597</v>
      </c>
      <c r="R3" s="30">
        <v>20524719585</v>
      </c>
      <c r="S3" s="30" t="s">
        <v>598</v>
      </c>
      <c r="T3" s="30" t="s">
        <v>594</v>
      </c>
    </row>
    <row r="4" spans="1:20" x14ac:dyDescent="0.3">
      <c r="A4" t="s">
        <v>596</v>
      </c>
      <c r="B4"/>
      <c r="C4" s="15" t="s">
        <v>592</v>
      </c>
      <c r="D4" s="15" t="s">
        <v>243</v>
      </c>
      <c r="E4" s="15">
        <f>VLOOKUP(A4,Tabla2[[Factura]:[Cuenta]],10,FALSE)</f>
        <v>11000</v>
      </c>
      <c r="F4" s="15">
        <f>VLOOKUP(G4,Q:T,2,0)</f>
        <v>20524719585</v>
      </c>
      <c r="G4" s="15" t="s">
        <v>597</v>
      </c>
      <c r="H4" s="15" t="str">
        <f>VLOOKUP(G4,Q:T,3,0)</f>
        <v>194-20176075-0-72</v>
      </c>
      <c r="I4" s="15" t="str">
        <f t="shared" si="0"/>
        <v>BCP</v>
      </c>
      <c r="J4" s="28" t="str">
        <f>VLOOKUP(A4,Tabla2[[Factura]:[Proyecto]],3,FALSE)</f>
        <v>OS0000796</v>
      </c>
      <c r="K4" s="15">
        <v>1</v>
      </c>
      <c r="L4" s="15">
        <f>VLOOKUP(A4,Tabla2[[Factura]:[Detalle cuota]],5,)</f>
        <v>2</v>
      </c>
      <c r="M4" s="15" t="str">
        <f>VLOOKUP(A4,Tabla2[[Factura]:[Cuota]],6,FALSE)</f>
        <v>Cuota 2/2</v>
      </c>
      <c r="N4" s="15">
        <f>VLOOKUP(A4,Tabla2[[Factura]:[Total cuotas]],7,FALSE)</f>
        <v>11000</v>
      </c>
    </row>
    <row r="5" spans="1:20" x14ac:dyDescent="0.3">
      <c r="B5"/>
      <c r="C5" s="15" t="s">
        <v>592</v>
      </c>
      <c r="D5" s="15" t="s">
        <v>243</v>
      </c>
      <c r="E5" s="15" t="e">
        <f>VLOOKUP(A5,Tabla2[[Factura]:[Cuenta]],10,FALSE)</f>
        <v>#N/A</v>
      </c>
      <c r="F5" s="15" t="e">
        <f t="shared" ref="F5:F11" si="1">VLOOKUP(G5,Q:T,2,0)</f>
        <v>#N/A</v>
      </c>
      <c r="H5" s="15" t="e">
        <f t="shared" ref="H5:H11" si="2">VLOOKUP(G5,Q:T,3,0)</f>
        <v>#N/A</v>
      </c>
      <c r="I5" s="15" t="e">
        <f t="shared" si="0"/>
        <v>#N/A</v>
      </c>
      <c r="J5" s="28" t="e">
        <f>VLOOKUP(A5,Tabla2[[Factura]:[Proyecto]],3,FALSE)</f>
        <v>#N/A</v>
      </c>
      <c r="K5" s="15">
        <v>1</v>
      </c>
      <c r="L5" s="15" t="e">
        <f>VLOOKUP(A5,Tabla2[[Factura]:[Detalle cuota]],5,)</f>
        <v>#N/A</v>
      </c>
      <c r="M5" s="15" t="e">
        <f>VLOOKUP(A5,Tabla2[[Factura]:[Cuota]],6,FALSE)</f>
        <v>#N/A</v>
      </c>
      <c r="N5" s="15" t="e">
        <f>VLOOKUP(A5,Tabla2[[Factura]:[Total cuotas]],7,FALSE)</f>
        <v>#N/A</v>
      </c>
    </row>
    <row r="6" spans="1:20" x14ac:dyDescent="0.3">
      <c r="B6"/>
      <c r="C6" s="15" t="s">
        <v>592</v>
      </c>
      <c r="D6" s="15" t="s">
        <v>243</v>
      </c>
      <c r="E6" s="15" t="e">
        <f>VLOOKUP(A6,Tabla2[[Factura]:[Cuenta]],10,FALSE)</f>
        <v>#N/A</v>
      </c>
      <c r="F6" s="15" t="e">
        <f t="shared" si="1"/>
        <v>#N/A</v>
      </c>
      <c r="H6" s="15" t="e">
        <f t="shared" si="2"/>
        <v>#N/A</v>
      </c>
      <c r="I6" s="15" t="e">
        <f t="shared" si="0"/>
        <v>#N/A</v>
      </c>
      <c r="J6" s="28" t="e">
        <f>VLOOKUP(A6,Tabla2[[Factura]:[Proyecto]],3,FALSE)</f>
        <v>#N/A</v>
      </c>
      <c r="K6" s="15">
        <v>1</v>
      </c>
      <c r="L6" s="15" t="e">
        <f>VLOOKUP(A6,Tabla2[[Factura]:[Detalle cuota]],5,)</f>
        <v>#N/A</v>
      </c>
      <c r="M6" s="15" t="e">
        <f>VLOOKUP(A6,Tabla2[[Factura]:[Cuota]],6,FALSE)</f>
        <v>#N/A</v>
      </c>
      <c r="N6" s="15" t="e">
        <f>VLOOKUP(A6,Tabla2[[Factura]:[Total cuotas]],7,FALSE)</f>
        <v>#N/A</v>
      </c>
    </row>
    <row r="7" spans="1:20" x14ac:dyDescent="0.3">
      <c r="B7"/>
      <c r="C7" s="15" t="s">
        <v>592</v>
      </c>
      <c r="D7" s="15" t="s">
        <v>243</v>
      </c>
      <c r="E7" s="15" t="e">
        <f>VLOOKUP(A7,Tabla2[[Factura]:[Cuenta]],10,FALSE)</f>
        <v>#N/A</v>
      </c>
      <c r="F7" s="15" t="e">
        <f t="shared" si="1"/>
        <v>#N/A</v>
      </c>
      <c r="H7" s="15" t="e">
        <f t="shared" si="2"/>
        <v>#N/A</v>
      </c>
      <c r="I7" s="15" t="e">
        <f t="shared" si="0"/>
        <v>#N/A</v>
      </c>
      <c r="J7" s="28" t="e">
        <f>VLOOKUP(A7,Tabla2[[Factura]:[Proyecto]],3,FALSE)</f>
        <v>#N/A</v>
      </c>
      <c r="K7" s="15">
        <v>1</v>
      </c>
      <c r="L7" s="15" t="e">
        <f>VLOOKUP(A7,Tabla2[[Factura]:[Detalle cuota]],5,)</f>
        <v>#N/A</v>
      </c>
      <c r="M7" s="15" t="e">
        <f>VLOOKUP(A7,Tabla2[[Factura]:[Cuota]],6,FALSE)</f>
        <v>#N/A</v>
      </c>
      <c r="N7" s="15" t="e">
        <f>VLOOKUP(A7,Tabla2[[Factura]:[Total cuotas]],7,FALSE)</f>
        <v>#N/A</v>
      </c>
    </row>
    <row r="8" spans="1:20" x14ac:dyDescent="0.3">
      <c r="B8"/>
      <c r="C8" s="15" t="s">
        <v>592</v>
      </c>
      <c r="D8" s="15" t="s">
        <v>243</v>
      </c>
      <c r="E8" s="15" t="e">
        <f>VLOOKUP(A8,Tabla2[[Factura]:[Cuenta]],10,FALSE)</f>
        <v>#N/A</v>
      </c>
      <c r="F8" s="15" t="e">
        <f t="shared" si="1"/>
        <v>#N/A</v>
      </c>
      <c r="H8" s="15" t="e">
        <f t="shared" si="2"/>
        <v>#N/A</v>
      </c>
      <c r="I8" s="15" t="e">
        <f t="shared" si="0"/>
        <v>#N/A</v>
      </c>
      <c r="J8" s="28" t="e">
        <f>VLOOKUP(A8,Tabla2[[Factura]:[Proyecto]],3,FALSE)</f>
        <v>#N/A</v>
      </c>
      <c r="K8" s="15">
        <v>1</v>
      </c>
      <c r="L8" s="15" t="e">
        <f>VLOOKUP(A8,Tabla2[[Factura]:[Detalle cuota]],5,)</f>
        <v>#N/A</v>
      </c>
      <c r="M8" s="15" t="e">
        <f>VLOOKUP(A8,Tabla2[[Factura]:[Cuota]],6,FALSE)</f>
        <v>#N/A</v>
      </c>
      <c r="N8" s="15" t="e">
        <f>VLOOKUP(A8,Tabla2[[Factura]:[Total cuotas]],7,FALSE)</f>
        <v>#N/A</v>
      </c>
    </row>
    <row r="9" spans="1:20" x14ac:dyDescent="0.3">
      <c r="B9"/>
      <c r="C9" s="15" t="s">
        <v>592</v>
      </c>
      <c r="D9" s="15" t="s">
        <v>243</v>
      </c>
      <c r="E9" s="15" t="e">
        <f>VLOOKUP(A9,Tabla2[[Factura]:[Cuenta]],10,FALSE)</f>
        <v>#N/A</v>
      </c>
      <c r="F9" s="15" t="e">
        <f t="shared" si="1"/>
        <v>#N/A</v>
      </c>
      <c r="H9" s="15" t="e">
        <f t="shared" si="2"/>
        <v>#N/A</v>
      </c>
      <c r="I9" s="15" t="e">
        <f t="shared" si="0"/>
        <v>#N/A</v>
      </c>
      <c r="J9" s="28" t="e">
        <f>VLOOKUP(A9,Tabla2[[Factura]:[Proyecto]],3,FALSE)</f>
        <v>#N/A</v>
      </c>
      <c r="K9" s="15">
        <v>1</v>
      </c>
      <c r="L9" s="15" t="e">
        <f>VLOOKUP(A9,Tabla2[[Factura]:[Detalle cuota]],5,)</f>
        <v>#N/A</v>
      </c>
      <c r="M9" s="15" t="e">
        <f>VLOOKUP(A9,Tabla2[[Factura]:[Cuota]],6,FALSE)</f>
        <v>#N/A</v>
      </c>
      <c r="N9" s="15" t="e">
        <f>VLOOKUP(A9,Tabla2[[Factura]:[Total cuotas]],7,FALSE)</f>
        <v>#N/A</v>
      </c>
    </row>
    <row r="10" spans="1:20" x14ac:dyDescent="0.3">
      <c r="B10"/>
      <c r="C10" s="15" t="s">
        <v>592</v>
      </c>
      <c r="D10" s="15" t="s">
        <v>243</v>
      </c>
      <c r="E10" s="15" t="e">
        <f>VLOOKUP(A10,Tabla2[[Factura]:[Cuenta]],10,FALSE)</f>
        <v>#N/A</v>
      </c>
      <c r="F10" s="15" t="e">
        <f t="shared" si="1"/>
        <v>#N/A</v>
      </c>
      <c r="H10" s="15" t="e">
        <f t="shared" si="2"/>
        <v>#N/A</v>
      </c>
      <c r="I10" s="15" t="e">
        <f t="shared" si="0"/>
        <v>#N/A</v>
      </c>
      <c r="J10" s="28" t="e">
        <f>VLOOKUP(A10,Tabla2[[Factura]:[Proyecto]],3,FALSE)</f>
        <v>#N/A</v>
      </c>
      <c r="K10" s="15">
        <v>1</v>
      </c>
      <c r="L10" s="15" t="e">
        <f>VLOOKUP(A10,Tabla2[[Factura]:[Detalle cuota]],5,)</f>
        <v>#N/A</v>
      </c>
      <c r="M10" s="15" t="e">
        <f>VLOOKUP(A10,Tabla2[[Factura]:[Cuota]],6,FALSE)</f>
        <v>#N/A</v>
      </c>
      <c r="N10" s="15" t="e">
        <f>VLOOKUP(A10,Tabla2[[Factura]:[Total cuotas]],7,FALSE)</f>
        <v>#N/A</v>
      </c>
    </row>
    <row r="11" spans="1:20" x14ac:dyDescent="0.3">
      <c r="B11"/>
      <c r="C11" s="15" t="s">
        <v>592</v>
      </c>
      <c r="D11" s="15" t="s">
        <v>243</v>
      </c>
      <c r="E11" s="15" t="e">
        <f>VLOOKUP(A11,Tabla2[[Factura]:[Cuenta]],10,FALSE)</f>
        <v>#N/A</v>
      </c>
      <c r="F11" s="15" t="e">
        <f t="shared" si="1"/>
        <v>#N/A</v>
      </c>
      <c r="H11" s="15" t="e">
        <f t="shared" si="2"/>
        <v>#N/A</v>
      </c>
      <c r="I11" s="15" t="e">
        <f t="shared" si="0"/>
        <v>#N/A</v>
      </c>
      <c r="J11" s="28" t="e">
        <f>VLOOKUP(A11,Tabla2[[Factura]:[Proyecto]],3,FALSE)</f>
        <v>#N/A</v>
      </c>
      <c r="K11" s="15">
        <v>1</v>
      </c>
      <c r="L11" s="15" t="e">
        <f>VLOOKUP(A11,Tabla2[[Factura]:[Detalle cuota]],5,)</f>
        <v>#N/A</v>
      </c>
      <c r="M11" s="15" t="e">
        <f>VLOOKUP(A11,Tabla2[[Factura]:[Cuota]],6,FALSE)</f>
        <v>#N/A</v>
      </c>
      <c r="N11" s="15" t="e">
        <f>VLOOKUP(A11,Tabla2[[Factura]:[Total cuotas]],7,FALSE)</f>
        <v>#N/A</v>
      </c>
    </row>
    <row r="12" spans="1:20" x14ac:dyDescent="0.3">
      <c r="B12"/>
      <c r="N12" s="15"/>
    </row>
    <row r="13" spans="1:20" x14ac:dyDescent="0.3">
      <c r="B13"/>
      <c r="N13" s="15"/>
    </row>
    <row r="14" spans="1:20" x14ac:dyDescent="0.3">
      <c r="B14"/>
      <c r="N14" s="15"/>
    </row>
    <row r="15" spans="1:20" x14ac:dyDescent="0.3">
      <c r="B15"/>
      <c r="N15" s="15"/>
    </row>
    <row r="16" spans="1:20" x14ac:dyDescent="0.3">
      <c r="B16"/>
      <c r="N16" s="15"/>
    </row>
    <row r="17" spans="2:16" x14ac:dyDescent="0.3">
      <c r="B17"/>
      <c r="N17" s="15"/>
    </row>
    <row r="18" spans="2:16" ht="24" x14ac:dyDescent="0.3">
      <c r="B18" s="120" t="s">
        <v>610</v>
      </c>
      <c r="C18" s="120" t="s">
        <v>603</v>
      </c>
      <c r="D18" s="120" t="s">
        <v>604</v>
      </c>
      <c r="E18" s="120" t="s">
        <v>605</v>
      </c>
      <c r="F18" s="120" t="s">
        <v>583</v>
      </c>
      <c r="G18" s="120" t="s">
        <v>376</v>
      </c>
      <c r="H18" s="120" t="s">
        <v>611</v>
      </c>
      <c r="I18" s="120" t="s">
        <v>606</v>
      </c>
      <c r="J18" s="120" t="s">
        <v>62</v>
      </c>
      <c r="K18" s="120" t="s">
        <v>599</v>
      </c>
      <c r="L18" s="120" t="s">
        <v>607</v>
      </c>
      <c r="M18" s="120" t="s">
        <v>608</v>
      </c>
      <c r="N18" s="120" t="s">
        <v>609</v>
      </c>
      <c r="P18"/>
    </row>
    <row r="19" spans="2:16" x14ac:dyDescent="0.3">
      <c r="B19" s="15" t="s">
        <v>377</v>
      </c>
      <c r="C19" s="15" t="s">
        <v>592</v>
      </c>
      <c r="D19" s="15" t="s">
        <v>243</v>
      </c>
      <c r="E19" s="15" t="s">
        <v>384</v>
      </c>
      <c r="F19" s="15">
        <v>20539909755</v>
      </c>
      <c r="G19" s="15" t="s">
        <v>600</v>
      </c>
      <c r="H19" s="15" t="s">
        <v>601</v>
      </c>
      <c r="I19" s="15" t="s">
        <v>594</v>
      </c>
      <c r="J19" s="28" t="s">
        <v>613</v>
      </c>
      <c r="K19" s="15">
        <v>1</v>
      </c>
      <c r="L19" s="15">
        <v>700</v>
      </c>
      <c r="M19" s="15">
        <f>K19*L19</f>
        <v>700</v>
      </c>
      <c r="N19" s="30" t="s">
        <v>602</v>
      </c>
      <c r="O19" s="29" t="s">
        <v>462</v>
      </c>
    </row>
    <row r="20" spans="2:16" x14ac:dyDescent="0.3">
      <c r="B20" s="15" t="s">
        <v>377</v>
      </c>
      <c r="C20" s="15" t="s">
        <v>592</v>
      </c>
      <c r="D20" s="15" t="s">
        <v>243</v>
      </c>
      <c r="E20" s="15" t="s">
        <v>384</v>
      </c>
      <c r="F20" s="15">
        <f>VLOOKUP(G20,Q:T,2,0)</f>
        <v>20547121628</v>
      </c>
      <c r="G20" s="15" t="s">
        <v>593</v>
      </c>
      <c r="H20" s="15" t="str">
        <f>VLOOKUP(G20,Q:T,3,0)</f>
        <v>194-2097981-0-25</v>
      </c>
      <c r="I20" s="15" t="str">
        <f>VLOOKUP(G20,Q:T,4,0)</f>
        <v>BCP</v>
      </c>
      <c r="J20" s="28" t="s">
        <v>613</v>
      </c>
      <c r="K20" s="15">
        <v>1</v>
      </c>
      <c r="L20" s="15">
        <v>13700</v>
      </c>
      <c r="M20" s="15">
        <f t="shared" ref="M20:M32" si="3">K20*L20</f>
        <v>13700</v>
      </c>
      <c r="N20" s="30" t="s">
        <v>612</v>
      </c>
      <c r="O20" s="29" t="s">
        <v>462</v>
      </c>
    </row>
    <row r="21" spans="2:16" x14ac:dyDescent="0.3">
      <c r="B21" s="15" t="s">
        <v>377</v>
      </c>
      <c r="C21" s="15" t="s">
        <v>592</v>
      </c>
      <c r="D21" s="15" t="s">
        <v>243</v>
      </c>
      <c r="E21" s="15" t="s">
        <v>384</v>
      </c>
      <c r="F21" s="15">
        <f>VLOOKUP(G21,Q:T,2,0)</f>
        <v>20547121628</v>
      </c>
      <c r="G21" s="15" t="s">
        <v>593</v>
      </c>
      <c r="H21" s="15" t="str">
        <f>VLOOKUP(G21,Q:T,3,0)</f>
        <v>194-2097981-0-25</v>
      </c>
      <c r="I21" s="15" t="str">
        <f>VLOOKUP(G21,Q:T,4,0)</f>
        <v>BCP</v>
      </c>
      <c r="J21" s="28" t="s">
        <v>614</v>
      </c>
      <c r="K21" s="15">
        <v>1</v>
      </c>
      <c r="L21" s="15">
        <v>9280</v>
      </c>
      <c r="M21" s="15">
        <f t="shared" si="3"/>
        <v>9280</v>
      </c>
      <c r="N21" s="30" t="s">
        <v>612</v>
      </c>
      <c r="O21" s="29" t="s">
        <v>462</v>
      </c>
    </row>
    <row r="22" spans="2:16" x14ac:dyDescent="0.3">
      <c r="M22" s="15">
        <f t="shared" si="3"/>
        <v>0</v>
      </c>
    </row>
    <row r="23" spans="2:16" x14ac:dyDescent="0.3">
      <c r="M23" s="15">
        <f t="shared" si="3"/>
        <v>0</v>
      </c>
    </row>
    <row r="24" spans="2:16" x14ac:dyDescent="0.3">
      <c r="M24" s="15">
        <f t="shared" si="3"/>
        <v>0</v>
      </c>
    </row>
    <row r="25" spans="2:16" x14ac:dyDescent="0.3">
      <c r="M25" s="15">
        <f t="shared" si="3"/>
        <v>0</v>
      </c>
    </row>
    <row r="26" spans="2:16" x14ac:dyDescent="0.3">
      <c r="M26" s="15">
        <f t="shared" si="3"/>
        <v>0</v>
      </c>
    </row>
    <row r="27" spans="2:16" x14ac:dyDescent="0.3">
      <c r="M27" s="15">
        <f t="shared" si="3"/>
        <v>0</v>
      </c>
    </row>
    <row r="28" spans="2:16" x14ac:dyDescent="0.3">
      <c r="M28" s="15">
        <f t="shared" si="3"/>
        <v>0</v>
      </c>
    </row>
    <row r="29" spans="2:16" x14ac:dyDescent="0.3">
      <c r="M29" s="15">
        <f t="shared" si="3"/>
        <v>0</v>
      </c>
    </row>
    <row r="30" spans="2:16" x14ac:dyDescent="0.3">
      <c r="M30" s="15">
        <f t="shared" si="3"/>
        <v>0</v>
      </c>
    </row>
    <row r="31" spans="2:16" x14ac:dyDescent="0.3">
      <c r="M31" s="15">
        <f t="shared" si="3"/>
        <v>0</v>
      </c>
    </row>
    <row r="32" spans="2:16" x14ac:dyDescent="0.3">
      <c r="M32" s="15">
        <f t="shared" si="3"/>
        <v>0</v>
      </c>
    </row>
  </sheetData>
  <phoneticPr fontId="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742C3-759D-4A92-AC73-B26DD1D1750B}">
  <sheetPr>
    <tabColor rgb="FFFFC000"/>
  </sheetPr>
  <dimension ref="A3:J25"/>
  <sheetViews>
    <sheetView topLeftCell="A2" zoomScaleNormal="100" workbookViewId="0">
      <selection activeCell="J9" sqref="J9"/>
    </sheetView>
  </sheetViews>
  <sheetFormatPr baseColWidth="10" defaultRowHeight="14.4" x14ac:dyDescent="0.3"/>
  <cols>
    <col min="1" max="1" width="16.5546875" bestFit="1" customWidth="1"/>
    <col min="2" max="2" width="16.5546875" style="75" bestFit="1" customWidth="1"/>
    <col min="5" max="5" width="16.5546875" bestFit="1" customWidth="1"/>
    <col min="6" max="6" width="26.109375" bestFit="1" customWidth="1"/>
    <col min="9" max="9" width="16.5546875" bestFit="1" customWidth="1"/>
    <col min="10" max="10" width="20.77734375" bestFit="1" customWidth="1"/>
  </cols>
  <sheetData>
    <row r="3" spans="1:10" x14ac:dyDescent="0.3">
      <c r="E3" s="90" t="s">
        <v>379</v>
      </c>
      <c r="F3" t="s">
        <v>384</v>
      </c>
    </row>
    <row r="5" spans="1:10" x14ac:dyDescent="0.3">
      <c r="A5" s="90" t="s">
        <v>534</v>
      </c>
      <c r="B5" s="94" t="s">
        <v>538</v>
      </c>
      <c r="E5" s="90" t="s">
        <v>534</v>
      </c>
      <c r="I5" s="90" t="s">
        <v>534</v>
      </c>
      <c r="J5" t="s">
        <v>557</v>
      </c>
    </row>
    <row r="6" spans="1:10" x14ac:dyDescent="0.3">
      <c r="A6" s="91">
        <v>2023</v>
      </c>
      <c r="B6" s="94">
        <v>1.0439257812499996</v>
      </c>
      <c r="E6" s="108">
        <v>44927</v>
      </c>
      <c r="I6" s="108">
        <v>1</v>
      </c>
      <c r="J6" s="106">
        <v>0</v>
      </c>
    </row>
    <row r="7" spans="1:10" x14ac:dyDescent="0.3">
      <c r="A7" s="91">
        <v>2024</v>
      </c>
      <c r="B7" s="94">
        <v>0.12733784321528055</v>
      </c>
      <c r="E7" s="108">
        <v>44958</v>
      </c>
      <c r="I7" s="108">
        <v>44927</v>
      </c>
      <c r="J7" s="106">
        <v>1780</v>
      </c>
    </row>
    <row r="8" spans="1:10" x14ac:dyDescent="0.3">
      <c r="A8" s="91" t="s">
        <v>535</v>
      </c>
      <c r="B8" s="94">
        <v>1.1712636244652801</v>
      </c>
      <c r="E8" s="108">
        <v>45017</v>
      </c>
      <c r="I8" s="108">
        <v>44958</v>
      </c>
      <c r="J8" s="106">
        <v>1200</v>
      </c>
    </row>
    <row r="9" spans="1:10" x14ac:dyDescent="0.3">
      <c r="B9"/>
      <c r="E9" s="108">
        <v>45047</v>
      </c>
      <c r="I9" s="108">
        <v>44986</v>
      </c>
      <c r="J9" s="106">
        <v>72430</v>
      </c>
    </row>
    <row r="10" spans="1:10" x14ac:dyDescent="0.3">
      <c r="B10"/>
      <c r="E10" s="108">
        <v>45078</v>
      </c>
      <c r="I10" s="108">
        <v>45017</v>
      </c>
      <c r="J10" s="106">
        <v>2075</v>
      </c>
    </row>
    <row r="11" spans="1:10" x14ac:dyDescent="0.3">
      <c r="B11"/>
      <c r="E11" s="108">
        <v>45108</v>
      </c>
      <c r="I11" s="108">
        <v>45047</v>
      </c>
      <c r="J11" s="106">
        <v>17280</v>
      </c>
    </row>
    <row r="12" spans="1:10" x14ac:dyDescent="0.3">
      <c r="B12"/>
      <c r="E12" s="108">
        <v>45139</v>
      </c>
      <c r="I12" s="108">
        <v>45200</v>
      </c>
      <c r="J12" s="106">
        <v>40200</v>
      </c>
    </row>
    <row r="13" spans="1:10" x14ac:dyDescent="0.3">
      <c r="E13" s="108">
        <v>45170</v>
      </c>
      <c r="I13" s="108">
        <v>45261</v>
      </c>
      <c r="J13" s="106">
        <v>47500</v>
      </c>
    </row>
    <row r="14" spans="1:10" x14ac:dyDescent="0.3">
      <c r="E14" s="108">
        <v>45200</v>
      </c>
      <c r="I14" s="108">
        <v>45139</v>
      </c>
      <c r="J14" s="106">
        <v>32840</v>
      </c>
    </row>
    <row r="15" spans="1:10" x14ac:dyDescent="0.3">
      <c r="E15" s="108">
        <v>45231</v>
      </c>
      <c r="I15" s="108">
        <v>45231</v>
      </c>
      <c r="J15" s="106">
        <v>51940</v>
      </c>
    </row>
    <row r="16" spans="1:10" x14ac:dyDescent="0.3">
      <c r="E16" s="108">
        <v>45261</v>
      </c>
      <c r="I16" s="108" t="s">
        <v>535</v>
      </c>
      <c r="J16" s="106">
        <v>267245</v>
      </c>
    </row>
    <row r="17" spans="5:5" x14ac:dyDescent="0.3">
      <c r="E17" s="108">
        <v>45292</v>
      </c>
    </row>
    <row r="18" spans="5:5" x14ac:dyDescent="0.3">
      <c r="E18" s="108">
        <v>45323</v>
      </c>
    </row>
    <row r="19" spans="5:5" x14ac:dyDescent="0.3">
      <c r="E19" s="108">
        <v>45352</v>
      </c>
    </row>
    <row r="20" spans="5:5" x14ac:dyDescent="0.3">
      <c r="E20" s="108">
        <v>45383</v>
      </c>
    </row>
    <row r="21" spans="5:5" x14ac:dyDescent="0.3">
      <c r="E21" s="108">
        <v>45413</v>
      </c>
    </row>
    <row r="22" spans="5:5" x14ac:dyDescent="0.3">
      <c r="E22" s="108">
        <v>45444</v>
      </c>
    </row>
    <row r="23" spans="5:5" x14ac:dyDescent="0.3">
      <c r="E23" s="108">
        <v>45505</v>
      </c>
    </row>
    <row r="24" spans="5:5" x14ac:dyDescent="0.3">
      <c r="E24" s="108">
        <v>45536</v>
      </c>
    </row>
    <row r="25" spans="5:5" x14ac:dyDescent="0.3">
      <c r="E25" s="108" t="s">
        <v>535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D83A7-DAA1-486B-AF79-B80EDBC7CE13}">
  <dimension ref="B1:N9"/>
  <sheetViews>
    <sheetView workbookViewId="0">
      <selection activeCell="I5" sqref="I5"/>
    </sheetView>
  </sheetViews>
  <sheetFormatPr baseColWidth="10" defaultRowHeight="14.4" x14ac:dyDescent="0.3"/>
  <cols>
    <col min="2" max="2" width="21.33203125" bestFit="1" customWidth="1"/>
    <col min="3" max="3" width="12" bestFit="1" customWidth="1"/>
    <col min="6" max="6" width="18.6640625" style="86" bestFit="1" customWidth="1"/>
    <col min="7" max="7" width="23.88671875" bestFit="1" customWidth="1"/>
    <col min="8" max="8" width="17.6640625" customWidth="1"/>
    <col min="11" max="11" width="21.33203125" bestFit="1" customWidth="1"/>
    <col min="12" max="12" width="12" bestFit="1" customWidth="1"/>
    <col min="13" max="13" width="23.88671875" customWidth="1"/>
  </cols>
  <sheetData>
    <row r="1" spans="2:14" ht="15" thickBot="1" x14ac:dyDescent="0.35">
      <c r="B1" s="128" t="s">
        <v>376</v>
      </c>
      <c r="C1" s="129" t="s">
        <v>583</v>
      </c>
      <c r="D1" s="129" t="s">
        <v>640</v>
      </c>
      <c r="E1" s="129" t="s">
        <v>62</v>
      </c>
      <c r="F1" s="144" t="s">
        <v>374</v>
      </c>
      <c r="G1" s="129" t="s">
        <v>641</v>
      </c>
      <c r="H1" s="130" t="s">
        <v>642</v>
      </c>
      <c r="I1" s="141" t="s">
        <v>50</v>
      </c>
    </row>
    <row r="2" spans="2:14" ht="23.4" hidden="1" customHeight="1" x14ac:dyDescent="0.3">
      <c r="B2" s="131" t="s">
        <v>600</v>
      </c>
      <c r="C2" s="131">
        <f>+VLOOKUP(B2,K3:N5,2,FALSE)</f>
        <v>20539909755</v>
      </c>
      <c r="D2" s="131" t="s">
        <v>638</v>
      </c>
      <c r="E2" s="131"/>
      <c r="F2" s="145" t="s">
        <v>643</v>
      </c>
      <c r="G2" s="133">
        <v>45177</v>
      </c>
      <c r="H2" s="133">
        <v>45192</v>
      </c>
      <c r="I2" t="s">
        <v>659</v>
      </c>
      <c r="K2" s="119" t="s">
        <v>584</v>
      </c>
      <c r="L2" s="119" t="s">
        <v>583</v>
      </c>
      <c r="M2" s="119" t="s">
        <v>585</v>
      </c>
      <c r="N2" s="119" t="s">
        <v>586</v>
      </c>
    </row>
    <row r="3" spans="2:14" x14ac:dyDescent="0.3">
      <c r="B3" s="30" t="s">
        <v>593</v>
      </c>
      <c r="C3" s="134">
        <v>20547121628</v>
      </c>
      <c r="D3" s="135" t="s">
        <v>634</v>
      </c>
      <c r="E3" s="135"/>
      <c r="F3" s="146" t="s">
        <v>644</v>
      </c>
      <c r="G3" s="136">
        <v>45189</v>
      </c>
      <c r="H3" s="136">
        <v>45219</v>
      </c>
      <c r="I3" t="s">
        <v>659</v>
      </c>
      <c r="K3" s="30" t="s">
        <v>593</v>
      </c>
      <c r="L3" s="30">
        <v>20547121628</v>
      </c>
      <c r="M3" s="30" t="s">
        <v>595</v>
      </c>
      <c r="N3" s="30" t="s">
        <v>594</v>
      </c>
    </row>
    <row r="4" spans="2:14" x14ac:dyDescent="0.3">
      <c r="B4" s="30" t="s">
        <v>593</v>
      </c>
      <c r="C4" s="132">
        <v>20547121628</v>
      </c>
      <c r="D4" s="131" t="s">
        <v>635</v>
      </c>
      <c r="E4" s="131"/>
      <c r="F4" s="147" t="s">
        <v>645</v>
      </c>
      <c r="G4" s="133">
        <v>45189</v>
      </c>
      <c r="H4" s="133">
        <v>45219</v>
      </c>
      <c r="I4" t="s">
        <v>659</v>
      </c>
      <c r="K4" s="30" t="s">
        <v>597</v>
      </c>
      <c r="L4" s="30">
        <v>20524719585</v>
      </c>
      <c r="M4" s="30" t="s">
        <v>598</v>
      </c>
      <c r="N4" s="30" t="s">
        <v>594</v>
      </c>
    </row>
    <row r="5" spans="2:14" x14ac:dyDescent="0.3">
      <c r="B5" s="30" t="s">
        <v>593</v>
      </c>
      <c r="C5" s="134">
        <v>20547121628</v>
      </c>
      <c r="D5" s="135" t="s">
        <v>636</v>
      </c>
      <c r="E5" s="135"/>
      <c r="F5" s="146" t="s">
        <v>646</v>
      </c>
      <c r="G5" s="136">
        <v>45189</v>
      </c>
      <c r="H5" s="136">
        <v>45219</v>
      </c>
      <c r="I5" t="s">
        <v>659</v>
      </c>
      <c r="K5" s="73" t="s">
        <v>600</v>
      </c>
      <c r="L5" s="30">
        <v>20539909755</v>
      </c>
      <c r="M5" s="30" t="s">
        <v>601</v>
      </c>
      <c r="N5" s="30" t="s">
        <v>594</v>
      </c>
    </row>
    <row r="6" spans="2:14" x14ac:dyDescent="0.3">
      <c r="B6" s="30" t="s">
        <v>593</v>
      </c>
      <c r="C6" s="132">
        <v>20547121628</v>
      </c>
      <c r="D6" s="131" t="s">
        <v>637</v>
      </c>
      <c r="E6" s="131"/>
      <c r="F6" s="147" t="s">
        <v>647</v>
      </c>
      <c r="G6" s="133">
        <v>45189</v>
      </c>
      <c r="H6" s="133">
        <v>45219</v>
      </c>
      <c r="I6" t="s">
        <v>659</v>
      </c>
    </row>
    <row r="7" spans="2:14" x14ac:dyDescent="0.3">
      <c r="B7" s="30" t="s">
        <v>593</v>
      </c>
      <c r="C7" s="134">
        <v>20547121628</v>
      </c>
      <c r="D7" s="135" t="s">
        <v>639</v>
      </c>
      <c r="E7" s="135"/>
      <c r="F7" s="146" t="s">
        <v>648</v>
      </c>
      <c r="G7" s="136">
        <v>45189</v>
      </c>
      <c r="H7" s="136">
        <v>45219</v>
      </c>
      <c r="I7" t="s">
        <v>659</v>
      </c>
    </row>
    <row r="8" spans="2:14" x14ac:dyDescent="0.3">
      <c r="B8" s="102" t="s">
        <v>593</v>
      </c>
      <c r="C8" s="134">
        <v>20547121628</v>
      </c>
      <c r="D8" s="142" t="s">
        <v>653</v>
      </c>
      <c r="E8" s="142"/>
      <c r="F8" s="146">
        <v>5295.84</v>
      </c>
      <c r="G8" s="143">
        <v>45201</v>
      </c>
      <c r="H8" s="143">
        <v>45232</v>
      </c>
      <c r="I8" t="s">
        <v>462</v>
      </c>
    </row>
    <row r="9" spans="2:14" x14ac:dyDescent="0.3">
      <c r="B9" s="102" t="s">
        <v>593</v>
      </c>
      <c r="C9" s="134">
        <v>20547121628</v>
      </c>
      <c r="D9" s="142" t="s">
        <v>658</v>
      </c>
      <c r="E9" s="142"/>
      <c r="F9" s="148">
        <v>5025.8599999999997</v>
      </c>
      <c r="G9" s="143">
        <v>45202</v>
      </c>
      <c r="H9" s="143">
        <v>45233</v>
      </c>
      <c r="I9" t="s">
        <v>462</v>
      </c>
    </row>
  </sheetData>
  <conditionalFormatting sqref="I1:I1048576">
    <cfRule type="containsText" dxfId="19" priority="1" operator="containsText" text="pagado">
      <formula>NOT(ISERROR(SEARCH("pagado",I1)))</formula>
    </cfRule>
  </conditionalFormatting>
  <conditionalFormatting sqref="I2">
    <cfRule type="cellIs" dxfId="18" priority="2" operator="equal">
      <formula>"pagado"</formula>
    </cfRule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7D982-9AC7-4AC5-A8FB-AFE78D35BB1A}">
  <sheetPr>
    <tabColor rgb="FFFF0000"/>
  </sheetPr>
  <dimension ref="A2:N73"/>
  <sheetViews>
    <sheetView showGridLines="0" zoomScale="78" zoomScaleNormal="115" workbookViewId="0">
      <selection activeCell="F32" sqref="F32"/>
    </sheetView>
  </sheetViews>
  <sheetFormatPr baseColWidth="10" defaultRowHeight="14.4" x14ac:dyDescent="0.3"/>
  <cols>
    <col min="2" max="2" width="25.5546875" customWidth="1"/>
    <col min="3" max="14" width="14.88671875" customWidth="1"/>
  </cols>
  <sheetData>
    <row r="2" spans="2:14" x14ac:dyDescent="0.3">
      <c r="C2" s="116" t="s">
        <v>559</v>
      </c>
      <c r="D2" s="116" t="s">
        <v>560</v>
      </c>
      <c r="E2" s="116" t="s">
        <v>561</v>
      </c>
      <c r="F2" s="116" t="s">
        <v>562</v>
      </c>
      <c r="G2" s="116" t="s">
        <v>563</v>
      </c>
      <c r="H2" s="116" t="s">
        <v>564</v>
      </c>
      <c r="I2" s="116" t="s">
        <v>565</v>
      </c>
      <c r="J2" s="116" t="s">
        <v>566</v>
      </c>
      <c r="K2" s="116" t="s">
        <v>567</v>
      </c>
      <c r="L2" s="116" t="s">
        <v>568</v>
      </c>
      <c r="M2" s="116" t="s">
        <v>569</v>
      </c>
      <c r="N2" s="116" t="s">
        <v>570</v>
      </c>
    </row>
    <row r="3" spans="2:14" x14ac:dyDescent="0.3">
      <c r="B3" s="117" t="s">
        <v>320</v>
      </c>
      <c r="C3" s="118">
        <v>256000</v>
      </c>
      <c r="D3" s="118">
        <f>C3</f>
        <v>256000</v>
      </c>
      <c r="E3" s="118">
        <f t="shared" ref="E3:N3" si="0">D3</f>
        <v>256000</v>
      </c>
      <c r="F3" s="118">
        <f t="shared" si="0"/>
        <v>256000</v>
      </c>
      <c r="G3" s="118">
        <f t="shared" si="0"/>
        <v>256000</v>
      </c>
      <c r="H3" s="118">
        <f t="shared" si="0"/>
        <v>256000</v>
      </c>
      <c r="I3" s="118">
        <f t="shared" si="0"/>
        <v>256000</v>
      </c>
      <c r="J3" s="118">
        <f t="shared" si="0"/>
        <v>256000</v>
      </c>
      <c r="K3" s="118">
        <f t="shared" si="0"/>
        <v>256000</v>
      </c>
      <c r="L3" s="118">
        <f t="shared" si="0"/>
        <v>256000</v>
      </c>
      <c r="M3" s="118">
        <f t="shared" si="0"/>
        <v>256000</v>
      </c>
      <c r="N3" s="118">
        <f t="shared" si="0"/>
        <v>256000</v>
      </c>
    </row>
    <row r="4" spans="2:14" x14ac:dyDescent="0.3">
      <c r="B4" s="117" t="s">
        <v>547</v>
      </c>
      <c r="C4" s="30">
        <v>20</v>
      </c>
      <c r="D4" s="30">
        <f>C4</f>
        <v>20</v>
      </c>
      <c r="E4" s="30">
        <f t="shared" ref="E4:N4" si="1">D4</f>
        <v>20</v>
      </c>
      <c r="F4" s="30">
        <f t="shared" si="1"/>
        <v>20</v>
      </c>
      <c r="G4" s="30">
        <f t="shared" si="1"/>
        <v>20</v>
      </c>
      <c r="H4" s="30">
        <f t="shared" si="1"/>
        <v>20</v>
      </c>
      <c r="I4" s="30">
        <f t="shared" si="1"/>
        <v>20</v>
      </c>
      <c r="J4" s="30">
        <f t="shared" si="1"/>
        <v>20</v>
      </c>
      <c r="K4" s="30">
        <f t="shared" si="1"/>
        <v>20</v>
      </c>
      <c r="L4" s="30">
        <f t="shared" si="1"/>
        <v>20</v>
      </c>
      <c r="M4" s="30">
        <f t="shared" si="1"/>
        <v>20</v>
      </c>
      <c r="N4" s="30">
        <f t="shared" si="1"/>
        <v>20</v>
      </c>
    </row>
    <row r="5" spans="2:14" x14ac:dyDescent="0.3"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2:14" x14ac:dyDescent="0.3"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2:14" x14ac:dyDescent="0.3">
      <c r="C7" s="116" t="s">
        <v>268</v>
      </c>
      <c r="D7" s="116" t="s">
        <v>269</v>
      </c>
      <c r="E7" s="116" t="s">
        <v>270</v>
      </c>
      <c r="F7" s="116" t="s">
        <v>271</v>
      </c>
      <c r="G7" s="116" t="s">
        <v>272</v>
      </c>
      <c r="H7" s="116" t="s">
        <v>273</v>
      </c>
      <c r="I7" s="116" t="s">
        <v>274</v>
      </c>
      <c r="J7" s="116" t="s">
        <v>275</v>
      </c>
      <c r="K7" s="116" t="s">
        <v>665</v>
      </c>
      <c r="L7" s="116" t="s">
        <v>277</v>
      </c>
      <c r="M7" s="116" t="s">
        <v>278</v>
      </c>
      <c r="N7" s="116" t="s">
        <v>267</v>
      </c>
    </row>
    <row r="8" spans="2:14" x14ac:dyDescent="0.3">
      <c r="B8" s="117" t="s">
        <v>548</v>
      </c>
      <c r="C8" s="118">
        <v>1780</v>
      </c>
      <c r="D8" s="118">
        <v>1200</v>
      </c>
      <c r="E8" s="150">
        <f>3060+2420+46100</f>
        <v>51580</v>
      </c>
      <c r="F8" s="150">
        <v>925</v>
      </c>
      <c r="G8" s="150">
        <v>8000</v>
      </c>
      <c r="H8" s="150"/>
      <c r="I8" s="118"/>
      <c r="J8" s="118">
        <v>23680</v>
      </c>
      <c r="K8" s="118">
        <v>10850</v>
      </c>
      <c r="L8" s="118">
        <v>11200</v>
      </c>
      <c r="M8" s="118"/>
      <c r="N8" s="118"/>
    </row>
    <row r="9" spans="2:14" x14ac:dyDescent="0.3">
      <c r="B9" s="117" t="s">
        <v>549</v>
      </c>
      <c r="C9" s="118">
        <f>C8</f>
        <v>1780</v>
      </c>
      <c r="D9" s="118">
        <f>C9+D8</f>
        <v>2980</v>
      </c>
      <c r="E9" s="118">
        <f t="shared" ref="E9:N9" si="2">D9+E8</f>
        <v>54560</v>
      </c>
      <c r="F9" s="118">
        <f t="shared" si="2"/>
        <v>55485</v>
      </c>
      <c r="G9" s="118">
        <f t="shared" si="2"/>
        <v>63485</v>
      </c>
      <c r="H9" s="118">
        <f t="shared" si="2"/>
        <v>63485</v>
      </c>
      <c r="I9" s="118">
        <f t="shared" si="2"/>
        <v>63485</v>
      </c>
      <c r="J9" s="118">
        <f t="shared" si="2"/>
        <v>87165</v>
      </c>
      <c r="K9" s="118">
        <f t="shared" si="2"/>
        <v>98015</v>
      </c>
      <c r="L9" s="118">
        <f t="shared" si="2"/>
        <v>109215</v>
      </c>
      <c r="M9" s="118">
        <f>L9+M8</f>
        <v>109215</v>
      </c>
      <c r="N9" s="118">
        <f t="shared" si="2"/>
        <v>109215</v>
      </c>
    </row>
    <row r="10" spans="2:14" x14ac:dyDescent="0.3">
      <c r="B10" s="117" t="s">
        <v>543</v>
      </c>
      <c r="C10" s="114">
        <f>C9/C3</f>
        <v>6.9531250000000001E-3</v>
      </c>
      <c r="D10" s="114">
        <f t="shared" ref="D10:L10" si="3">D9/D3</f>
        <v>1.1640625E-2</v>
      </c>
      <c r="E10" s="114">
        <f t="shared" si="3"/>
        <v>0.21312500000000001</v>
      </c>
      <c r="F10" s="114">
        <f t="shared" si="3"/>
        <v>0.21673828125</v>
      </c>
      <c r="G10" s="114">
        <f>G9/G3</f>
        <v>0.24798828125</v>
      </c>
      <c r="H10" s="114">
        <f t="shared" si="3"/>
        <v>0.24798828125</v>
      </c>
      <c r="I10" s="114">
        <f t="shared" si="3"/>
        <v>0.24798828125</v>
      </c>
      <c r="J10" s="114">
        <f t="shared" si="3"/>
        <v>0.34048828125000002</v>
      </c>
      <c r="K10" s="114">
        <f t="shared" si="3"/>
        <v>0.38287109375</v>
      </c>
      <c r="L10" s="114">
        <f t="shared" si="3"/>
        <v>0.42662109375000001</v>
      </c>
      <c r="M10" s="114">
        <f>M9/M3</f>
        <v>0.42662109375000001</v>
      </c>
      <c r="N10" s="114">
        <f>N9/N3</f>
        <v>0.42662109375000001</v>
      </c>
    </row>
    <row r="11" spans="2:14" x14ac:dyDescent="0.3"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</row>
    <row r="12" spans="2:14" x14ac:dyDescent="0.3"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</row>
    <row r="13" spans="2:14" x14ac:dyDescent="0.3"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</row>
    <row r="14" spans="2:14" x14ac:dyDescent="0.3"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</row>
    <row r="15" spans="2:14" x14ac:dyDescent="0.3"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</row>
    <row r="16" spans="2:14" x14ac:dyDescent="0.3"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</row>
    <row r="17" spans="2:14" x14ac:dyDescent="0.3"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/>
    </row>
    <row r="18" spans="2:14" x14ac:dyDescent="0.3"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</row>
    <row r="19" spans="2:14" x14ac:dyDescent="0.3"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</row>
    <row r="20" spans="2:14" x14ac:dyDescent="0.3"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</row>
    <row r="21" spans="2:14" x14ac:dyDescent="0.3">
      <c r="C21" s="86"/>
      <c r="D21" s="86"/>
      <c r="E21" s="86"/>
      <c r="F21" s="86"/>
      <c r="G21" s="86"/>
      <c r="H21" s="86"/>
      <c r="I21" s="86"/>
      <c r="J21" s="86"/>
      <c r="K21" s="86"/>
      <c r="L21" s="86"/>
      <c r="M21" s="86"/>
      <c r="N21" s="86"/>
    </row>
    <row r="22" spans="2:14" x14ac:dyDescent="0.3"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</row>
    <row r="23" spans="2:14" x14ac:dyDescent="0.3"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</row>
    <row r="24" spans="2:14" x14ac:dyDescent="0.3"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</row>
    <row r="25" spans="2:14" x14ac:dyDescent="0.3"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</row>
    <row r="26" spans="2:14" x14ac:dyDescent="0.3"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</row>
    <row r="27" spans="2:14" x14ac:dyDescent="0.3"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</row>
    <row r="28" spans="2:14" x14ac:dyDescent="0.3">
      <c r="C28" s="116" t="s">
        <v>559</v>
      </c>
      <c r="D28" s="116" t="s">
        <v>560</v>
      </c>
      <c r="E28" s="116" t="s">
        <v>561</v>
      </c>
      <c r="F28" s="116" t="s">
        <v>562</v>
      </c>
      <c r="G28" s="116" t="s">
        <v>563</v>
      </c>
      <c r="H28" s="116" t="s">
        <v>564</v>
      </c>
      <c r="I28" s="116" t="s">
        <v>565</v>
      </c>
      <c r="J28" s="116" t="s">
        <v>566</v>
      </c>
      <c r="K28" s="116" t="s">
        <v>567</v>
      </c>
      <c r="L28" s="116" t="s">
        <v>568</v>
      </c>
      <c r="M28" s="116" t="s">
        <v>569</v>
      </c>
      <c r="N28" s="116" t="s">
        <v>570</v>
      </c>
    </row>
    <row r="29" spans="2:14" x14ac:dyDescent="0.3">
      <c r="B29" s="117" t="s">
        <v>552</v>
      </c>
      <c r="C29" s="118">
        <v>1780</v>
      </c>
      <c r="D29" s="118">
        <v>1200</v>
      </c>
      <c r="E29" s="118">
        <v>0</v>
      </c>
      <c r="F29" s="118">
        <v>11700</v>
      </c>
      <c r="G29" s="118">
        <v>6405</v>
      </c>
      <c r="H29" s="118">
        <v>10990</v>
      </c>
      <c r="I29" s="118">
        <v>9745</v>
      </c>
      <c r="J29" s="118">
        <v>5460</v>
      </c>
      <c r="K29" s="118">
        <v>20195</v>
      </c>
      <c r="L29" s="118">
        <v>26505</v>
      </c>
      <c r="M29" s="118"/>
      <c r="N29" s="118"/>
    </row>
    <row r="30" spans="2:14" x14ac:dyDescent="0.3">
      <c r="B30" s="117" t="s">
        <v>553</v>
      </c>
      <c r="C30" s="118">
        <f>C29</f>
        <v>1780</v>
      </c>
      <c r="D30" s="118">
        <f>C30+D29</f>
        <v>2980</v>
      </c>
      <c r="E30" s="118">
        <f t="shared" ref="E30:N30" si="4">D30+E29</f>
        <v>2980</v>
      </c>
      <c r="F30" s="118">
        <f t="shared" si="4"/>
        <v>14680</v>
      </c>
      <c r="G30" s="118">
        <f t="shared" si="4"/>
        <v>21085</v>
      </c>
      <c r="H30" s="118">
        <f t="shared" si="4"/>
        <v>32075</v>
      </c>
      <c r="I30" s="118">
        <f t="shared" si="4"/>
        <v>41820</v>
      </c>
      <c r="J30" s="118">
        <f t="shared" si="4"/>
        <v>47280</v>
      </c>
      <c r="K30" s="118">
        <f t="shared" si="4"/>
        <v>67475</v>
      </c>
      <c r="L30" s="118">
        <f t="shared" si="4"/>
        <v>93980</v>
      </c>
      <c r="M30" s="118">
        <f>L30+M29</f>
        <v>93980</v>
      </c>
      <c r="N30" s="118">
        <f t="shared" si="4"/>
        <v>93980</v>
      </c>
    </row>
    <row r="31" spans="2:14" x14ac:dyDescent="0.3">
      <c r="B31" s="117" t="s">
        <v>556</v>
      </c>
      <c r="C31" s="114">
        <f>C30/C3</f>
        <v>6.9531250000000001E-3</v>
      </c>
      <c r="D31" s="114">
        <f t="shared" ref="D31:N31" si="5">D30/D3</f>
        <v>1.1640625E-2</v>
      </c>
      <c r="E31" s="114">
        <f t="shared" si="5"/>
        <v>1.1640625E-2</v>
      </c>
      <c r="F31" s="114">
        <f>F30/F3</f>
        <v>5.7343749999999999E-2</v>
      </c>
      <c r="G31" s="114">
        <f t="shared" si="5"/>
        <v>8.2363281250000003E-2</v>
      </c>
      <c r="H31" s="114">
        <f t="shared" si="5"/>
        <v>0.12529296875000001</v>
      </c>
      <c r="I31" s="114">
        <f t="shared" si="5"/>
        <v>0.163359375</v>
      </c>
      <c r="J31" s="114">
        <f t="shared" si="5"/>
        <v>0.1846875</v>
      </c>
      <c r="K31" s="114">
        <f t="shared" si="5"/>
        <v>0.26357421874999998</v>
      </c>
      <c r="L31" s="114">
        <f t="shared" si="5"/>
        <v>0.36710937500000002</v>
      </c>
      <c r="M31" s="114">
        <f t="shared" si="5"/>
        <v>0.36710937500000002</v>
      </c>
      <c r="N31" s="114">
        <f t="shared" si="5"/>
        <v>0.36710937500000002</v>
      </c>
    </row>
    <row r="50" spans="1:14" x14ac:dyDescent="0.3">
      <c r="B50" s="117" t="s">
        <v>550</v>
      </c>
      <c r="C50" s="30">
        <v>1</v>
      </c>
      <c r="D50" s="30">
        <v>1</v>
      </c>
      <c r="E50" s="30">
        <v>3</v>
      </c>
      <c r="F50" s="30">
        <v>1</v>
      </c>
      <c r="G50" s="30">
        <v>2</v>
      </c>
      <c r="H50" s="30"/>
      <c r="I50" s="30"/>
      <c r="J50" s="30"/>
      <c r="K50" s="30"/>
      <c r="L50" s="30"/>
      <c r="M50" s="30"/>
      <c r="N50" s="30"/>
    </row>
    <row r="51" spans="1:14" x14ac:dyDescent="0.3">
      <c r="B51" s="117" t="s">
        <v>551</v>
      </c>
      <c r="C51" s="30">
        <f>C50</f>
        <v>1</v>
      </c>
      <c r="D51" s="30">
        <f>C51+D50</f>
        <v>2</v>
      </c>
      <c r="E51" s="30">
        <f t="shared" ref="E51:N51" si="6">D51+E50</f>
        <v>5</v>
      </c>
      <c r="F51" s="30">
        <f t="shared" si="6"/>
        <v>6</v>
      </c>
      <c r="G51" s="30">
        <f t="shared" si="6"/>
        <v>8</v>
      </c>
      <c r="H51" s="30">
        <f t="shared" si="6"/>
        <v>8</v>
      </c>
      <c r="I51" s="30">
        <f t="shared" si="6"/>
        <v>8</v>
      </c>
      <c r="J51" s="30">
        <f t="shared" si="6"/>
        <v>8</v>
      </c>
      <c r="K51" s="30">
        <f t="shared" si="6"/>
        <v>8</v>
      </c>
      <c r="L51" s="30">
        <f t="shared" si="6"/>
        <v>8</v>
      </c>
      <c r="M51" s="30">
        <f>L51+M50</f>
        <v>8</v>
      </c>
      <c r="N51" s="30">
        <f t="shared" si="6"/>
        <v>8</v>
      </c>
    </row>
    <row r="52" spans="1:14" x14ac:dyDescent="0.3">
      <c r="B52" s="117" t="s">
        <v>555</v>
      </c>
      <c r="C52" s="114">
        <f t="shared" ref="C52:L52" si="7">C51/C4</f>
        <v>0.05</v>
      </c>
      <c r="D52" s="114">
        <f t="shared" si="7"/>
        <v>0.1</v>
      </c>
      <c r="E52" s="114">
        <f t="shared" si="7"/>
        <v>0.25</v>
      </c>
      <c r="F52" s="114">
        <f t="shared" si="7"/>
        <v>0.3</v>
      </c>
      <c r="G52" s="114">
        <f t="shared" si="7"/>
        <v>0.4</v>
      </c>
      <c r="H52" s="114">
        <f t="shared" si="7"/>
        <v>0.4</v>
      </c>
      <c r="I52" s="114">
        <f t="shared" si="7"/>
        <v>0.4</v>
      </c>
      <c r="J52" s="114">
        <f t="shared" si="7"/>
        <v>0.4</v>
      </c>
      <c r="K52" s="114">
        <f t="shared" si="7"/>
        <v>0.4</v>
      </c>
      <c r="L52" s="114">
        <f t="shared" si="7"/>
        <v>0.4</v>
      </c>
      <c r="M52" s="114">
        <f>M51/M4</f>
        <v>0.4</v>
      </c>
      <c r="N52" s="114">
        <f>N51/N4</f>
        <v>0.4</v>
      </c>
    </row>
    <row r="53" spans="1:14" x14ac:dyDescent="0.3">
      <c r="A53">
        <v>1</v>
      </c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</row>
    <row r="54" spans="1:14" x14ac:dyDescent="0.3">
      <c r="A54">
        <v>2</v>
      </c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</row>
    <row r="55" spans="1:14" x14ac:dyDescent="0.3">
      <c r="A55">
        <v>3</v>
      </c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</row>
    <row r="56" spans="1:14" x14ac:dyDescent="0.3">
      <c r="A56">
        <v>4</v>
      </c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</row>
    <row r="57" spans="1:14" x14ac:dyDescent="0.3">
      <c r="A57">
        <v>5</v>
      </c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</row>
    <row r="58" spans="1:14" x14ac:dyDescent="0.3">
      <c r="A58">
        <v>6</v>
      </c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</row>
    <row r="59" spans="1:14" x14ac:dyDescent="0.3">
      <c r="A59">
        <v>7</v>
      </c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</row>
    <row r="60" spans="1:14" x14ac:dyDescent="0.3">
      <c r="A60">
        <v>8</v>
      </c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</row>
    <row r="61" spans="1:14" x14ac:dyDescent="0.3">
      <c r="A61">
        <v>9</v>
      </c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</row>
    <row r="62" spans="1:14" x14ac:dyDescent="0.3">
      <c r="A62">
        <v>10</v>
      </c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</row>
    <row r="63" spans="1:14" x14ac:dyDescent="0.3">
      <c r="A63">
        <v>11</v>
      </c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</row>
    <row r="64" spans="1:14" x14ac:dyDescent="0.3">
      <c r="A64">
        <v>12</v>
      </c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</row>
    <row r="65" spans="1:14" x14ac:dyDescent="0.3">
      <c r="A65">
        <v>13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</row>
    <row r="66" spans="1:14" x14ac:dyDescent="0.3">
      <c r="A66">
        <v>14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</row>
    <row r="67" spans="1:14" x14ac:dyDescent="0.3">
      <c r="A67">
        <v>15</v>
      </c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</row>
    <row r="68" spans="1:14" x14ac:dyDescent="0.3">
      <c r="A68">
        <v>16</v>
      </c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</row>
    <row r="69" spans="1:14" x14ac:dyDescent="0.3">
      <c r="A69">
        <v>17</v>
      </c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</row>
    <row r="70" spans="1:14" x14ac:dyDescent="0.3">
      <c r="A70">
        <v>18</v>
      </c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</row>
    <row r="71" spans="1:14" x14ac:dyDescent="0.3">
      <c r="B71" s="117" t="s">
        <v>545</v>
      </c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</row>
    <row r="72" spans="1:14" x14ac:dyDescent="0.3">
      <c r="B72" s="117" t="s">
        <v>546</v>
      </c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</row>
    <row r="73" spans="1:14" x14ac:dyDescent="0.3">
      <c r="B73" s="117" t="s">
        <v>544</v>
      </c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</row>
  </sheetData>
  <phoneticPr fontId="8" type="noConversion"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 T a b l a 1 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 T a b l a 1 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 C o l u m n s \ L l a v e 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 C o l u m n s \ P r o y e c t o 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 C o l u m n s \ A l c a n c e 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 C o l u m n s \ S u b - � r e a 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 C o l u m n s \ I n v o l u c r a d a s 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 C o l u m n s \ T a m a � o 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 C o l u m n s \ P u n t a j e 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 C o l u m n s \ E s f u e r z o 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 C o l u m n s \ L � d e r 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 C o l u m n s \ P . M a n a g e r 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  p r o y e c t o 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 C o l u m n s \ P r o v e e d o r  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 C o l u m n s \ S G 5 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 C o l u m n s \ C R M 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 C o l u m n s \ E x a c t u s 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 C o l u m n s \ P r e s u p u e s t o   S / . 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 C o l u m n s \ A p r o b a d o   S / . 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 A p r o b 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 C o l u m n s \ E j e c u t a d o   S / . 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 E j e c 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  p r e s u p u e s t o 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 a p r o b a c i � n 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 C o l u m n s \ m m . a a   f c h   a p r o b 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  P r o y 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 C o l u m n s \ L � n e a   d e   n e g o c i o 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 T a b l a 4 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 T a b l a 4 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 C o l u m n s \ L l a v e 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 C o l u m n s \ P r e s u p u e s t o 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 C o l u m n s \ A p r o b a d o 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 a p r o b a d a 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 C o l u m n s \ E j e c u t a d o 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 e j e c u t a d a 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 C o l u m n s \ P r o v e e d o r 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 T a b l a 2 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 T a b l a 2 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 C o l u m n s \ L l a v e 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  P r o y 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 C o l u m n s \ P r o v e e d o r 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 C o l u m n s \ F a c t u r a 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  a p r o b 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 C o l u m n s \ P r o y e c t o 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 C o l u m n s \ #   C u o t a 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 C o l u m n s \ D e t a l l e   c u o t a 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 C o l u m n s \ C u o t a 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 c u o t a s 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 C o l u m n s \ C u o t a   S / . 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  V e n c 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 p a g o 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 C o l u m n s \ m m . a a 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 C o l u m n s \ S i s t e m a 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 ( a � o ) 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 ( t r i m e s t r e ) 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 ( � n d i c e   d e   m e s e s ) 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 ( m e s ) 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 C o l u m n s \ m m . a a   ( a � o ) 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 C o l u m n s \ m m . a a   ( t r i m e s t r e ) 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 C o l u m n s \ m m . a a   ( � n d i c e   d e   m e s e s ) 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 C o l u m n s \ m m . a a   ( m e s ) 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  a p r o b   ( a � o ) 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  a p r o b   ( t r i m e s t r e ) 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  a p r o b   ( � n d i c e   d e   m e s e s ) 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  a p r o b   ( m e s ) 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6 7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 T a b l a 2 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 T a b l a 1 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 1 2 9 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5.xml>��< ? x m l   v e r s i o n = " 1 . 0 "   e n c o d i n g = " u t f - 1 6 " ? > < D a t a M a s h u p   x m l n s = " h t t p : / / s c h e m a s . m i c r o s o f t . c o m / D a t a M a s h u p " > A A A A A B U D A A B Q S w M E F A A C A A g A l 2 r 2 W O A y y g G l A A A A 9 g A A A B I A H A B D b 2 5 m a W c v U G F j a 2 F n Z S 5 4 b W w g o h g A K K A U A A A A A A A A A A A A A A A A A A A A A A A A A A A A h Y 8 x D o I w G I W v Q r r T l h o T J T 9 l M G 6 S k J g Y 1 6 Z U a I B i a L H c z c E j e Q U x i r o 5 v u 9 9 w 3 v 3 6 w 3 S s W 2 C i + q t 7 k y C I k x R o I z s C m 3 K B A 3 u F K 5 Q y i E X s h a l C i b Z 2 H i 0 R Y I q 5 8 4 x I d 5 7 7 B e 4 6 0 v C K I 3 I M d v t Z a V a g T 6 y / i + H 2 l g n j F S I w + E 1 h j M c s T V m S 4 Y p k B l C p s 1 X Y N P e Z / s D Y T M 0 b u g V V z b M t 0 D m C O T 9 g T 8 A U E s D B B Q A A g A I A J d q 9 l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X a v Z Y K I p H u A 4 A A A A R A A A A E w A c A E Z v c m 1 1 b G F z L 1 N l Y 3 R p b 2 4 x L m 0 g o h g A K K A U A A A A A A A A A A A A A A A A A A A A A A A A A A A A K 0 5 N L s n M z 1 M I h t C G 1 g B Q S w E C L Q A U A A I A C A C X a v Z Y 4 D L K A a U A A A D 2 A A A A E g A A A A A A A A A A A A A A A A A A A A A A Q 2 9 u Z m l n L 1 B h Y 2 t h Z 2 U u e G 1 s U E s B A i 0 A F A A C A A g A l 2 r 2 W A / K 6 a u k A A A A 6 Q A A A B M A A A A A A A A A A A A A A A A A 8 Q A A A F t D b 2 5 0 Z W 5 0 X 1 R 5 c G V z X S 5 4 b W x Q S w E C L Q A U A A I A C A C X a v Z Y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D I y B V A V R u 1 G m x 8 S t b b c 3 S E A A A A A A g A A A A A A A 2 Y A A M A A A A A Q A A A A E O D Y P z O h N d P D 2 0 K T U z 2 d 1 A A A A A A E g A A A o A A A A B A A A A D z G 9 N 6 y K T Y N v K i E P C I s 6 C a U A A A A N K X G Z T Z Q J 4 i V s 7 a h a P 7 w + Z C 5 q S k T 8 T h s u Q n R y f k M d k K 6 S w j V t L B L O p H y Y A s K 5 S U K U 6 H 0 f j z q p D K N 6 z / i q C e T 8 W h T e + E q D H h y M Z p o f M a 0 w Q v F A A A A E r A V l Q L 0 I w I E 5 T J x 6 c o M M B w I o y 0 < / D a t a M a s h u p > 
</file>

<file path=customXml/item1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 T a b l a 4 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 T a b l a 4 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 M e a s u r e s \ R e c u e n t o   d e   I D < / K e y > < / D i a g r a m O b j e c t K e y > < D i a g r a m O b j e c t K e y > < K e y > M e a s u r e s \ R e c u e n t o   d e   I D \ T a g I n f o \ F � r m u l a < / K e y > < / D i a g r a m O b j e c t K e y > < D i a g r a m O b j e c t K e y > < K e y > M e a s u r e s \ R e c u e n t o   d e   I D \ T a g I n f o \ V a l o r < / K e y > < / D i a g r a m O b j e c t K e y > < D i a g r a m O b j e c t K e y > < K e y > M e a s u r e s \ R e c u e n t o   d i s t i n t o   d e   I D < / K e y > < / D i a g r a m O b j e c t K e y > < D i a g r a m O b j e c t K e y > < K e y > M e a s u r e s \ R e c u e n t o   d i s t i n t o   d e   I D \ T a g I n f o \ F � r m u l a < / K e y > < / D i a g r a m O b j e c t K e y > < D i a g r a m O b j e c t K e y > < K e y > M e a s u r e s \ R e c u e n t o   d i s t i n t o   d e   I D \ T a g I n f o \ V a l o r < / K e y > < / D i a g r a m O b j e c t K e y > < D i a g r a m O b j e c t K e y > < K e y > C o l u m n s \ L l a v e < / K e y > < / D i a g r a m O b j e c t K e y > < D i a g r a m O b j e c t K e y > < K e y > C o l u m n s \ I D < / K e y > < / D i a g r a m O b j e c t K e y > < D i a g r a m O b j e c t K e y > < K e y > C o l u m n s \ A � O < / K e y > < / D i a g r a m O b j e c t K e y > < D i a g r a m O b j e c t K e y > < K e y > C o l u m n s \ P r e s u p u e s t o < / K e y > < / D i a g r a m O b j e c t K e y > < D i a g r a m O b j e c t K e y > < K e y > C o l u m n s \ A p r o b a d o < / K e y > < / D i a g r a m O b j e c t K e y > < D i a g r a m O b j e c t K e y > < K e y > C o l u m n s \ F e c h a   a p r o b a d a < / K e y > < / D i a g r a m O b j e c t K e y > < D i a g r a m O b j e c t K e y > < K e y > C o l u m n s \ E j e c u t a d o < / K e y > < / D i a g r a m O b j e c t K e y > < D i a g r a m O b j e c t K e y > < K e y > C o l u m n s \ F e c h a   e j e c u t a d a < / K e y > < / D i a g r a m O b j e c t K e y > < D i a g r a m O b j e c t K e y > < K e y > C o l u m n s \ P r o v e e d o r < / K e y > < / D i a g r a m O b j e c t K e y > < D i a g r a m O b j e c t K e y > < K e y > C o l u m n s \ � r e a < / K e y > < / D i a g r a m O b j e c t K e y > < D i a g r a m O b j e c t K e y > < K e y > L i n k s \ & l t ; C o l u m n s \ R e c u e n t o   d e   I D & g t ; - & l t ; M e a s u r e s \ I D & g t ; < / K e y > < / D i a g r a m O b j e c t K e y > < D i a g r a m O b j e c t K e y > < K e y > L i n k s \ & l t ; C o l u m n s \ R e c u e n t o   d e   I D & g t ; - & l t ; M e a s u r e s \ I D & g t ; \ C O L U M N < / K e y > < / D i a g r a m O b j e c t K e y > < D i a g r a m O b j e c t K e y > < K e y > L i n k s \ & l t ; C o l u m n s \ R e c u e n t o   d e   I D & g t ; - & l t ; M e a s u r e s \ I D & g t ; \ M E A S U R E < / K e y > < / D i a g r a m O b j e c t K e y > < D i a g r a m O b j e c t K e y > < K e y > L i n k s \ & l t ; C o l u m n s \ R e c u e n t o   d i s t i n t o   d e   I D & g t ; - & l t ; M e a s u r e s \ I D & g t ; < / K e y > < / D i a g r a m O b j e c t K e y > < D i a g r a m O b j e c t K e y > < K e y > L i n k s \ & l t ; C o l u m n s \ R e c u e n t o   d i s t i n t o   d e   I D & g t ; - & l t ; M e a s u r e s \ I D & g t ; \ C O L U M N < / K e y > < / D i a g r a m O b j e c t K e y > < D i a g r a m O b j e c t K e y > < K e y > L i n k s \ & l t ; C o l u m n s \ R e c u e n t o   d i s t i n t o   d e   I D & g t ; - & l t ; M e a s u r e s \ I D & g t ; \ M E A S U R E 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 M e a s u r e s \ R e c u e n t o   d e   I D 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 I D \ T a g I n f o \ F � r m u l a 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 I D \ T a g I n f o \ V a l o r 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 d i s t i n t o   d e   I D < / K e y > < / a : K e y > < a : V a l u e   i : t y p e = " M e a s u r e G r i d N o d e V i e w S t a t e " > < C o l u m n > 1 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 d i s t i n t o   d e   I D \ T a g I n f o \ F � r m u l a 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 d i s t i n t o   d e   I D \ T a g I n f o \ V a l o r 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 C o l u m n s \ L l a v e 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 C o l u m n s \ P r e s u p u e s t o 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 C o l u m n s \ A p r o b a d o 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 a p r o b a d a 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 C o l u m n s \ E j e c u t a d o 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 e j e c u t a d a 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 C o l u m n s \ P r o v e e d o r 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 C o l u m n s \ � r e a 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 L i n k s \ & l t ; C o l u m n s \ R e c u e n t o   d e   I D & g t ; - & l t ; M e a s u r e s \ I D & g t ; 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 I D & g t ; - & l t ; M e a s u r e s \ I D & g t ; \ C O L U M N 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 I D & g t ; - & l t ; M e a s u r e s \ I D & g t ; \ M E A S U R E 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 I D & g t ; - & l t ; M e a s u r e s \ I D & g t ; 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 I D & g t ; - & l t ; M e a s u r e s \ I D & g t ; \ C O L U M N 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 d i s t i n t o   d e   I D & g t ; - & l t ; M e a s u r e s \ I D & g t ; \ M E A S U R E 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 T a b l a 1 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 T a b l a 1 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 C o l u m n s \ L l a v e < / K e y > < / D i a g r a m O b j e c t K e y > < D i a g r a m O b j e c t K e y > < K e y > C o l u m n s \ I D < / K e y > < / D i a g r a m O b j e c t K e y > < D i a g r a m O b j e c t K e y > < K e y > C o l u m n s \ P r o y e c t o < / K e y > < / D i a g r a m O b j e c t K e y > < D i a g r a m O b j e c t K e y > < K e y > C o l u m n s \ A l c a n c e < / K e y > < / D i a g r a m O b j e c t K e y > < D i a g r a m O b j e c t K e y > < K e y > C o l u m n s \ � r e a < / K e y > < / D i a g r a m O b j e c t K e y > < D i a g r a m O b j e c t K e y > < K e y > C o l u m n s \ S u b - � r e a < / K e y > < / D i a g r a m O b j e c t K e y > < D i a g r a m O b j e c t K e y > < K e y > C o l u m n s \ I n v o l u c r a d a s < / K e y > < / D i a g r a m O b j e c t K e y > < D i a g r a m O b j e c t K e y > < K e y > C o l u m n s \ T a m a � o < / K e y > < / D i a g r a m O b j e c t K e y > < D i a g r a m O b j e c t K e y > < K e y > C o l u m n s \ P u n t a j e < / K e y > < / D i a g r a m O b j e c t K e y > < D i a g r a m O b j e c t K e y > < K e y > C o l u m n s \ E s f u e r z o < / K e y > < / D i a g r a m O b j e c t K e y > < D i a g r a m O b j e c t K e y > < K e y > C o l u m n s \ L � d e r < / K e y > < / D i a g r a m O b j e c t K e y > < D i a g r a m O b j e c t K e y > < K e y > C o l u m n s \ P . M a n a g e r < / K e y > < / D i a g r a m O b j e c t K e y > < D i a g r a m O b j e c t K e y > < K e y > C o l u m n s \ E s t a d o   p r o y e c t o < / K e y > < / D i a g r a m O b j e c t K e y > < D i a g r a m O b j e c t K e y > < K e y > C o l u m n s \ P r o v e e d o r   p r i n c i p a l < / K e y > < / D i a g r a m O b j e c t K e y > < D i a g r a m O b j e c t K e y > < K e y > C o l u m n s \ S G 5 < / K e y > < / D i a g r a m O b j e c t K e y > < D i a g r a m O b j e c t K e y > < K e y > C o l u m n s \ C R M < / K e y > < / D i a g r a m O b j e c t K e y > < D i a g r a m O b j e c t K e y > < K e y > C o l u m n s \ E x a c t u s < / K e y > < / D i a g r a m O b j e c t K e y > < D i a g r a m O b j e c t K e y > < K e y > C o l u m n s \ W e b < / K e y > < / D i a g r a m O b j e c t K e y > < D i a g r a m O b j e c t K e y > < K e y > C o l u m n s \ O t r o s < / K e y > < / D i a g r a m O b j e c t K e y > < D i a g r a m O b j e c t K e y > < K e y > C o l u m n s \ P r e s u p u e s t o   S / . < / K e y > < / D i a g r a m O b j e c t K e y > < D i a g r a m O b j e c t K e y > < K e y > C o l u m n s \ A p r o b a d o   S / . < / K e y > < / D i a g r a m O b j e c t K e y > < D i a g r a m O b j e c t K e y > < K e y > C o l u m n s \ %   A p r o b < / K e y > < / D i a g r a m O b j e c t K e y > < D i a g r a m O b j e c t K e y > < K e y > C o l u m n s \ E j e c u t a d o   S / . < / K e y > < / D i a g r a m O b j e c t K e y > < D i a g r a m O b j e c t K e y > < K e y > C o l u m n s \ %   E j e c < / K e y > < / D i a g r a m O b j e c t K e y > < D i a g r a m O b j e c t K e y > < K e y > C o l u m n s \ E s t a d o   p r e s u p u e s t o < / K e y > < / D i a g r a m O b j e c t K e y > < D i a g r a m O b j e c t K e y > < K e y > C o l u m n s \ F e c h a   a p r o b a c i � n < / K e y > < / D i a g r a m O b j e c t K e y > < D i a g r a m O b j e c t K e y > < K e y > C o l u m n s \ m m . a a   f c h   a p r o b < / K e y > < / D i a g r a m O b j e c t K e y > < D i a g r a m O b j e c t K e y > < K e y > C o l u m n s \ A � o   P r o y < / K e y > < / D i a g r a m O b j e c t K e y > < D i a g r a m O b j e c t K e y > < K e y > C o l u m n s \ L � n e a   d e   n e g o c i o < / K e y > < / D i a g r a m O b j e c t K e y > < D i a g r a m O b j e c t K e y > < K e y > C o l u m n s \ P a � s 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 C o l u m n s \ L l a v e 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 C o l u m n s \ P r o y e c t o 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 C o l u m n s \ A l c a n c e 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 C o l u m n s \ � r e a 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 C o l u m n s \ S u b - � r e a 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 C o l u m n s \ I n v o l u c r a d a s 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 C o l u m n s \ T a m a � o 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 C o l u m n s \ P u n t a j e 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 C o l u m n s \ E s f u e r z o 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 C o l u m n s \ L � d e r 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 C o l u m n s \ P . M a n a g e r 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  p r o y e c t o 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 C o l u m n s \ P r o v e e d o r   p r i n c i p a l 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 C o l u m n s \ S G 5 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 C o l u m n s \ C R M 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 C o l u m n s \ E x a c t u s 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 C o l u m n s \ W e b 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 C o l u m n s \ O t r o s 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 C o l u m n s \ P r e s u p u e s t o   S / . 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 C o l u m n s \ A p r o b a d o   S / . 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 A p r o b 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 C o l u m n s \ E j e c u t a d o   S / . 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 E j e c 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  p r e s u p u e s t o 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 a p r o b a c i � n 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 C o l u m n s \ m m . a a   f c h   a p r o b 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  P r o y 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 C o l u m n s \ L � n e a   d e   n e g o c i o 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 C o l u m n s \ P a � s 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 T a b l a 2 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 T a b l a 2 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 A � o   P r o y < / K e y > < / D i a g r a m O b j e c t K e y > < D i a g r a m O b j e c t K e y > < K e y > M e a s u r e s \ S u m a   d e   A � o   P r o y \ T a g I n f o \ F � r m u l a < / K e y > < / D i a g r a m O b j e c t K e y > < D i a g r a m O b j e c t K e y > < K e y > M e a s u r e s \ S u m a   d e   A � o   P r o y \ T a g I n f o \ V a l o r < / K e y > < / D i a g r a m O b j e c t K e y > < D i a g r a m O b j e c t K e y > < K e y > M e a s u r e s \ S u m a   d e   C u o t a < / K e y > < / D i a g r a m O b j e c t K e y > < D i a g r a m O b j e c t K e y > < K e y > M e a s u r e s \ S u m a   d e   C u o t a \ T a g I n f o \ F � r m u l a < / K e y > < / D i a g r a m O b j e c t K e y > < D i a g r a m O b j e c t K e y > < K e y > M e a s u r e s \ S u m a   d e   C u o t a \ T a g I n f o \ V a l o r < / K e y > < / D i a g r a m O b j e c t K e y > < D i a g r a m O b j e c t K e y > < K e y > C o l u m n s \ L l a v e < / K e y > < / D i a g r a m O b j e c t K e y > < D i a g r a m O b j e c t K e y > < K e y > C o l u m n s \ I D < / K e y > < / D i a g r a m O b j e c t K e y > < D i a g r a m O b j e c t K e y > < K e y > C o l u m n s \ A � o   P r o y < / K e y > < / D i a g r a m O b j e c t K e y > < D i a g r a m O b j e c t K e y > < K e y > C o l u m n s \ F e c h a < / K e y > < / D i a g r a m O b j e c t K e y > < D i a g r a m O b j e c t K e y > < K e y > C o l u m n s \ P r o v e e d o r < / K e y > < / D i a g r a m O b j e c t K e y > < D i a g r a m O b j e c t K e y > < K e y > C o l u m n s \ C � d i g o < / K e y > < / D i a g r a m O b j e c t K e y > < D i a g r a m O b j e c t K e y > < K e y > C o l u m n s \ F a c t u r a < / K e y > < / D i a g r a m O b j e c t K e y > < D i a g r a m O b j e c t K e y > < K e y > C o l u m n s \ M e s   a p r o b < / K e y > < / D i a g r a m O b j e c t K e y > < D i a g r a m O b j e c t K e y > < K e y > C o l u m n s \ O S < / K e y > < / D i a g r a m O b j e c t K e y > < D i a g r a m O b j e c t K e y > < K e y > C o l u m n s \ P r o y e c t o < / K e y > < / D i a g r a m O b j e c t K e y > < D i a g r a m O b j e c t K e y > < K e y > C o l u m n s \ #   C u o t a < / K e y > < / D i a g r a m O b j e c t K e y > < D i a g r a m O b j e c t K e y > < K e y > C o l u m n s \ D e t a l l e   c u o t a < / K e y > < / D i a g r a m O b j e c t K e y > < D i a g r a m O b j e c t K e y > < K e y > C o l u m n s \ C u o t a < / K e y > < / D i a g r a m O b j e c t K e y > < D i a g r a m O b j e c t K e y > < K e y > C o l u m n s \ T o t a l   c u o t a s < / K e y > < / D i a g r a m O b j e c t K e y > < D i a g r a m O b j e c t K e y > < K e y > C o l u m n s \ M o n e d a < / K e y > < / D i a g r a m O b j e c t K e y > < D i a g r a m O b j e c t K e y > < K e y > C o l u m n s \ C u o t a   S / . < / K e y > < / D i a g r a m O b j e c t K e y > < D i a g r a m O b j e c t K e y > < K e y > C o l u m n s \ C u e n t a < / K e y > < / D i a g r a m O b j e c t K e y > < D i a g r a m O b j e c t K e y > < K e y > C o l u m n s \ P a � s < / K e y > < / D i a g r a m O b j e c t K e y > < D i a g r a m O b j e c t K e y > < K e y > C o l u m n s \ � r e a < / K e y > < / D i a g r a m O b j e c t K e y > < D i a g r a m O b j e c t K e y > < K e y > C o l u m n s \ E s t a d o < / K e y > < / D i a g r a m O b j e c t K e y > < D i a g r a m O b j e c t K e y > < K e y > C o l u m n s \ F   V e n c < / K e y > < / D i a g r a m O b j e c t K e y > < D i a g r a m O b j e c t K e y > < K e y > C o l u m n s \ F e c h a   p a g o < / K e y > < / D i a g r a m O b j e c t K e y > < D i a g r a m O b j e c t K e y > < K e y > C o l u m n s \ m m . a a < / K e y > < / D i a g r a m O b j e c t K e y > < D i a g r a m O b j e c t K e y > < K e y > C o l u m n s \ S i s t e m a < / K e y > < / D i a g r a m O b j e c t K e y > < D i a g r a m O b j e c t K e y > < K e y > C o l u m n s \ F e c h a   ( a � o ) < / K e y > < / D i a g r a m O b j e c t K e y > < D i a g r a m O b j e c t K e y > < K e y > C o l u m n s \ F e c h a   ( t r i m e s t r e ) < / K e y > < / D i a g r a m O b j e c t K e y > < D i a g r a m O b j e c t K e y > < K e y > C o l u m n s \ F e c h a   ( � n d i c e   d e   m e s e s ) < / K e y > < / D i a g r a m O b j e c t K e y > < D i a g r a m O b j e c t K e y > < K e y > C o l u m n s \ F e c h a   ( m e s ) < / K e y > < / D i a g r a m O b j e c t K e y > < D i a g r a m O b j e c t K e y > < K e y > C o l u m n s \ m m . a a   ( a � o ) < / K e y > < / D i a g r a m O b j e c t K e y > < D i a g r a m O b j e c t K e y > < K e y > C o l u m n s \ m m . a a   ( t r i m e s t r e ) < / K e y > < / D i a g r a m O b j e c t K e y > < D i a g r a m O b j e c t K e y > < K e y > C o l u m n s \ m m . a a   ( � n d i c e   d e   m e s e s ) < / K e y > < / D i a g r a m O b j e c t K e y > < D i a g r a m O b j e c t K e y > < K e y > C o l u m n s \ m m . a a   ( m e s ) < / K e y > < / D i a g r a m O b j e c t K e y > < D i a g r a m O b j e c t K e y > < K e y > C o l u m n s \ M e s   a p r o b   ( a � o ) < / K e y > < / D i a g r a m O b j e c t K e y > < D i a g r a m O b j e c t K e y > < K e y > C o l u m n s \ M e s   a p r o b   ( t r i m e s t r e ) < / K e y > < / D i a g r a m O b j e c t K e y > < D i a g r a m O b j e c t K e y > < K e y > C o l u m n s \ M e s   a p r o b   ( � n d i c e   d e   m e s e s ) < / K e y > < / D i a g r a m O b j e c t K e y > < D i a g r a m O b j e c t K e y > < K e y > C o l u m n s \ M e s   a p r o b   ( m e s ) < / K e y > < / D i a g r a m O b j e c t K e y > < D i a g r a m O b j e c t K e y > < K e y > L i n k s \ & l t ; C o l u m n s \ S u m a   d e   A � o   P r o y & g t ; - & l t ; M e a s u r e s \ A � o   P r o y & g t ; < / K e y > < / D i a g r a m O b j e c t K e y > < D i a g r a m O b j e c t K e y > < K e y > L i n k s \ & l t ; C o l u m n s \ S u m a   d e   A � o   P r o y & g t ; - & l t ; M e a s u r e s \ A � o   P r o y & g t ; \ C O L U M N < / K e y > < / D i a g r a m O b j e c t K e y > < D i a g r a m O b j e c t K e y > < K e y > L i n k s \ & l t ; C o l u m n s \ S u m a   d e   A � o   P r o y & g t ; - & l t ; M e a s u r e s \ A � o   P r o y & g t ; \ M E A S U R E < / K e y > < / D i a g r a m O b j e c t K e y > < D i a g r a m O b j e c t K e y > < K e y > L i n k s \ & l t ; C o l u m n s \ S u m a   d e   C u o t a & g t ; - & l t ; M e a s u r e s \ C u o t a & g t ; < / K e y > < / D i a g r a m O b j e c t K e y > < D i a g r a m O b j e c t K e y > < K e y > L i n k s \ & l t ; C o l u m n s \ S u m a   d e   C u o t a & g t ; - & l t ; M e a s u r e s \ C u o t a & g t ; \ C O L U M N < / K e y > < / D i a g r a m O b j e c t K e y > < D i a g r a m O b j e c t K e y > < K e y > L i n k s \ & l t ; C o l u m n s \ S u m a   d e   C u o t a & g t ; - & l t ; M e a s u r e s \ C u o t a & g t ; \ M E A S U R E 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 A � o   P r o y 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 A � o   P r o y \ T a g I n f o \ F � r m u l a 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 A � o   P r o y \ T a g I n f o \ V a l o r 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 C u o t a 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 C u o t a \ T a g I n f o \ F � r m u l a 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 C u o t a \ T a g I n f o \ V a l o r 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 C o l u m n s \ L l a v e 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  P r o y 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 C o l u m n s \ P r o v e e d o r 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 C o l u m n s \ C � d i g o 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 C o l u m n s \ F a c t u r a 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  a p r o b 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 C o l u m n s \ P r o y e c t o 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 C o l u m n s \ #   C u o t a 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 C o l u m n s \ D e t a l l e   c u o t a 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 C o l u m n s \ C u o t a 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 c u o t a s 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 C o l u m n s \ C u o t a   S / . 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 C o l u m n s \ C u e n t a 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 C o l u m n s \ P a � s 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 C o l u m n s \ � r e a 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  V e n c 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 p a g o 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 C o l u m n s \ m m . a a 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 C o l u m n s \ S i s t e m a 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 ( a � o ) 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 ( t r i m e s t r e ) 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 ( � n d i c e   d e   m e s e s ) 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 ( m e s ) 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 C o l u m n s \ m m . a a   ( a � o ) 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 C o l u m n s \ m m . a a   ( t r i m e s t r e ) 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 C o l u m n s \ m m . a a   ( � n d i c e   d e   m e s e s ) 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 C o l u m n s \ m m . a a   ( m e s ) 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  a p r o b   ( a � o ) 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  a p r o b   ( t r i m e s t r e ) 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  a p r o b   ( � n d i c e   d e   m e s e s ) 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  a p r o b   ( m e s ) 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 A � o   P r o y & g t ; - & l t ; M e a s u r e s \ A � o   P r o y & g t ; 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 A � o   P r o y & g t ; - & l t ; M e a s u r e s \ A � o   P r o y & g t ; \ C O L U M N 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 A � o   P r o y & g t ; - & l t ; M e a s u r e s \ A � o   P r o y & g t ; \ M E A S U R E 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 C u o t a & g t ; - & l t ; M e a s u r e s \ C u o t a & g t ; 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 C u o t a & g t ; - & l t ; M e a s u r e s \ C u o t a & g t ; \ C O L U M N 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 C u o t a & g t ; - & l t ; M e a s u r e s \ C u o t a & g t ; \ M E A S U R E 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 T a g s \ T a b l e s \ & l t ; T a b l e s \ T a b l a 2 & g t ; < / K e y > < / D i a g r a m O b j e c t K e y > < D i a g r a m O b j e c t K e y > < K e y > D y n a m i c   T a g s \ T a b l e s \ & l t ; T a b l e s \ T a b l a 1 & g t ; < / K e y > < / D i a g r a m O b j e c t K e y > < D i a g r a m O b j e c t K e y > < K e y > T a b l e s \ T a b l a 2 < / K e y > < / D i a g r a m O b j e c t K e y > < D i a g r a m O b j e c t K e y > < K e y > T a b l e s \ T a b l a 2 \ C o l u m n s \ L l a v e < / K e y > < / D i a g r a m O b j e c t K e y > < D i a g r a m O b j e c t K e y > < K e y > T a b l e s \ T a b l a 2 \ C o l u m n s \ I D < / K e y > < / D i a g r a m O b j e c t K e y > < D i a g r a m O b j e c t K e y > < K e y > T a b l e s \ T a b l a 2 \ C o l u m n s \ A � o   P r o y < / K e y > < / D i a g r a m O b j e c t K e y > < D i a g r a m O b j e c t K e y > < K e y > T a b l e s \ T a b l a 2 \ C o l u m n s \ F e c h a < / K e y > < / D i a g r a m O b j e c t K e y > < D i a g r a m O b j e c t K e y > < K e y > T a b l e s \ T a b l a 2 \ C o l u m n s \ P r o v e e d o r < / K e y > < / D i a g r a m O b j e c t K e y > < D i a g r a m O b j e c t K e y > < K e y > T a b l e s \ T a b l a 2 \ C o l u m n s \ C � d i g o < / K e y > < / D i a g r a m O b j e c t K e y > < D i a g r a m O b j e c t K e y > < K e y > T a b l e s \ T a b l a 2 \ C o l u m n s \ F a c t u r a < / K e y > < / D i a g r a m O b j e c t K e y > < D i a g r a m O b j e c t K e y > < K e y > T a b l e s \ T a b l a 2 \ C o l u m n s \ M e s   a p r o b < / K e y > < / D i a g r a m O b j e c t K e y > < D i a g r a m O b j e c t K e y > < K e y > T a b l e s \ T a b l a 2 \ C o l u m n s \ O S < / K e y > < / D i a g r a m O b j e c t K e y > < D i a g r a m O b j e c t K e y > < K e y > T a b l e s \ T a b l a 2 \ C o l u m n s \ P r o y e c t o < / K e y > < / D i a g r a m O b j e c t K e y > < D i a g r a m O b j e c t K e y > < K e y > T a b l e s \ T a b l a 2 \ C o l u m n s \ #   C u o t a < / K e y > < / D i a g r a m O b j e c t K e y > < D i a g r a m O b j e c t K e y > < K e y > T a b l e s \ T a b l a 2 \ C o l u m n s \ D e t a l l e   c u o t a < / K e y > < / D i a g r a m O b j e c t K e y > < D i a g r a m O b j e c t K e y > < K e y > T a b l e s \ T a b l a 2 \ C o l u m n s \ C u o t a < / K e y > < / D i a g r a m O b j e c t K e y > < D i a g r a m O b j e c t K e y > < K e y > T a b l e s \ T a b l a 2 \ C o l u m n s \ T o t a l   c u o t a s < / K e y > < / D i a g r a m O b j e c t K e y > < D i a g r a m O b j e c t K e y > < K e y > T a b l e s \ T a b l a 2 \ C o l u m n s \ M o n e d a < / K e y > < / D i a g r a m O b j e c t K e y > < D i a g r a m O b j e c t K e y > < K e y > T a b l e s \ T a b l a 2 \ C o l u m n s \ C u o t a   S / . < / K e y > < / D i a g r a m O b j e c t K e y > < D i a g r a m O b j e c t K e y > < K e y > T a b l e s \ T a b l a 2 \ C o l u m n s \ C u e n t a < / K e y > < / D i a g r a m O b j e c t K e y > < D i a g r a m O b j e c t K e y > < K e y > T a b l e s \ T a b l a 2 \ C o l u m n s \ P a � s < / K e y > < / D i a g r a m O b j e c t K e y > < D i a g r a m O b j e c t K e y > < K e y > T a b l e s \ T a b l a 2 \ C o l u m n s \ � r e a < / K e y > < / D i a g r a m O b j e c t K e y > < D i a g r a m O b j e c t K e y > < K e y > T a b l e s \ T a b l a 2 \ C o l u m n s \ E s t a d o < / K e y > < / D i a g r a m O b j e c t K e y > < D i a g r a m O b j e c t K e y > < K e y > T a b l e s \ T a b l a 2 \ C o l u m n s \ F   V e n c < / K e y > < / D i a g r a m O b j e c t K e y > < D i a g r a m O b j e c t K e y > < K e y > T a b l e s \ T a b l a 2 \ C o l u m n s \ F e c h a   p a g o < / K e y > < / D i a g r a m O b j e c t K e y > < D i a g r a m O b j e c t K e y > < K e y > T a b l e s \ T a b l a 2 \ C o l u m n s \ m m . a a < / K e y > < / D i a g r a m O b j e c t K e y > < D i a g r a m O b j e c t K e y > < K e y > T a b l e s \ T a b l a 2 \ C o l u m n s \ S i s t e m a < / K e y > < / D i a g r a m O b j e c t K e y > < D i a g r a m O b j e c t K e y > < K e y > T a b l e s \ T a b l a 2 \ C o l u m n s \ F e c h a   ( a � o ) < / K e y > < / D i a g r a m O b j e c t K e y > < D i a g r a m O b j e c t K e y > < K e y > T a b l e s \ T a b l a 2 \ C o l u m n s \ F e c h a   ( t r i m e s t r e ) < / K e y > < / D i a g r a m O b j e c t K e y > < D i a g r a m O b j e c t K e y > < K e y > T a b l e s \ T a b l a 2 \ C o l u m n s \ F e c h a   ( � n d i c e   d e   m e s e s ) < / K e y > < / D i a g r a m O b j e c t K e y > < D i a g r a m O b j e c t K e y > < K e y > T a b l e s \ T a b l a 2 \ C o l u m n s \ F e c h a   ( m e s ) < / K e y > < / D i a g r a m O b j e c t K e y > < D i a g r a m O b j e c t K e y > < K e y > T a b l e s \ T a b l a 2 \ C o l u m n s \ m m . a a   ( a � o ) < / K e y > < / D i a g r a m O b j e c t K e y > < D i a g r a m O b j e c t K e y > < K e y > T a b l e s \ T a b l a 2 \ C o l u m n s \ m m . a a   ( t r i m e s t r e ) < / K e y > < / D i a g r a m O b j e c t K e y > < D i a g r a m O b j e c t K e y > < K e y > T a b l e s \ T a b l a 2 \ C o l u m n s \ m m . a a   ( � n d i c e   d e   m e s e s ) < / K e y > < / D i a g r a m O b j e c t K e y > < D i a g r a m O b j e c t K e y > < K e y > T a b l e s \ T a b l a 2 \ C o l u m n s \ m m . a a   ( m e s ) < / K e y > < / D i a g r a m O b j e c t K e y > < D i a g r a m O b j e c t K e y > < K e y > T a b l e s \ T a b l a 2 \ C o l u m n s \ M e s   a p r o b   ( a � o ) < / K e y > < / D i a g r a m O b j e c t K e y > < D i a g r a m O b j e c t K e y > < K e y > T a b l e s \ T a b l a 2 \ C o l u m n s \ M e s   a p r o b   ( t r i m e s t r e ) < / K e y > < / D i a g r a m O b j e c t K e y > < D i a g r a m O b j e c t K e y > < K e y > T a b l e s \ T a b l a 2 \ C o l u m n s \ M e s   a p r o b   ( � n d i c e   d e   m e s e s ) < / K e y > < / D i a g r a m O b j e c t K e y > < D i a g r a m O b j e c t K e y > < K e y > T a b l e s \ T a b l a 2 \ C o l u m n s \ M e s   a p r o b   ( m e s ) < / K e y > < / D i a g r a m O b j e c t K e y > < D i a g r a m O b j e c t K e y > < K e y > T a b l e s \ T a b l a 2 \ M e a s u r e s \ S u m a   d e   A � o   P r o y < / K e y > < / D i a g r a m O b j e c t K e y > < D i a g r a m O b j e c t K e y > < K e y > T a b l e s \ T a b l a 2 \ S u m a   d e   A � o   P r o y \ A d d i t i o n a l   I n f o \ M e d i d a   i m p l � c i t a < / K e y > < / D i a g r a m O b j e c t K e y > < D i a g r a m O b j e c t K e y > < K e y > T a b l e s \ T a b l a 2 \ M e a s u r e s \ S u m a   d e   C u o t a < / K e y > < / D i a g r a m O b j e c t K e y > < D i a g r a m O b j e c t K e y > < K e y > T a b l e s \ T a b l a 2 \ S u m a   d e   C u o t a \ A d d i t i o n a l   I n f o \ M e d i d a   i m p l � c i t a < / K e y > < / D i a g r a m O b j e c t K e y > < D i a g r a m O b j e c t K e y > < K e y > T a b l e s \ T a b l a 1 < / K e y > < / D i a g r a m O b j e c t K e y > < D i a g r a m O b j e c t K e y > < K e y > T a b l e s \ T a b l a 1 \ C o l u m n s \ L l a v e < / K e y > < / D i a g r a m O b j e c t K e y > < D i a g r a m O b j e c t K e y > < K e y > T a b l e s \ T a b l a 1 \ C o l u m n s \ I D < / K e y > < / D i a g r a m O b j e c t K e y > < D i a g r a m O b j e c t K e y > < K e y > T a b l e s \ T a b l a 1 \ C o l u m n s \ P r o y e c t o < / K e y > < / D i a g r a m O b j e c t K e y > < D i a g r a m O b j e c t K e y > < K e y > T a b l e s \ T a b l a 1 \ C o l u m n s \ A l c a n c e < / K e y > < / D i a g r a m O b j e c t K e y > < D i a g r a m O b j e c t K e y > < K e y > T a b l e s \ T a b l a 1 \ C o l u m n s \ � r e a < / K e y > < / D i a g r a m O b j e c t K e y > < D i a g r a m O b j e c t K e y > < K e y > T a b l e s \ T a b l a 1 \ C o l u m n s \ S u b - � r e a < / K e y > < / D i a g r a m O b j e c t K e y > < D i a g r a m O b j e c t K e y > < K e y > T a b l e s \ T a b l a 1 \ C o l u m n s \ I n v o l u c r a d a s < / K e y > < / D i a g r a m O b j e c t K e y > < D i a g r a m O b j e c t K e y > < K e y > T a b l e s \ T a b l a 1 \ C o l u m n s \ T a m a � o < / K e y > < / D i a g r a m O b j e c t K e y > < D i a g r a m O b j e c t K e y > < K e y > T a b l e s \ T a b l a 1 \ C o l u m n s \ P u n t a j e < / K e y > < / D i a g r a m O b j e c t K e y > < D i a g r a m O b j e c t K e y > < K e y > T a b l e s \ T a b l a 1 \ C o l u m n s \ E s f u e r z o < / K e y > < / D i a g r a m O b j e c t K e y > < D i a g r a m O b j e c t K e y > < K e y > T a b l e s \ T a b l a 1 \ C o l u m n s \ L � d e r < / K e y > < / D i a g r a m O b j e c t K e y > < D i a g r a m O b j e c t K e y > < K e y > T a b l e s \ T a b l a 1 \ C o l u m n s \ P . M a n a g e r < / K e y > < / D i a g r a m O b j e c t K e y > < D i a g r a m O b j e c t K e y > < K e y > T a b l e s \ T a b l a 1 \ C o l u m n s \ E s t a d o   p r o y e c t o < / K e y > < / D i a g r a m O b j e c t K e y > < D i a g r a m O b j e c t K e y > < K e y > T a b l e s \ T a b l a 1 \ C o l u m n s \ P r o v e e d o r   p r i n c i p a l < / K e y > < / D i a g r a m O b j e c t K e y > < D i a g r a m O b j e c t K e y > < K e y > T a b l e s \ T a b l a 1 \ C o l u m n s \ S G 5 < / K e y > < / D i a g r a m O b j e c t K e y > < D i a g r a m O b j e c t K e y > < K e y > T a b l e s \ T a b l a 1 \ C o l u m n s \ C R M < / K e y > < / D i a g r a m O b j e c t K e y > < D i a g r a m O b j e c t K e y > < K e y > T a b l e s \ T a b l a 1 \ C o l u m n s \ E x a c t u s < / K e y > < / D i a g r a m O b j e c t K e y > < D i a g r a m O b j e c t K e y > < K e y > T a b l e s \ T a b l a 1 \ C o l u m n s \ W e b < / K e y > < / D i a g r a m O b j e c t K e y > < D i a g r a m O b j e c t K e y > < K e y > T a b l e s \ T a b l a 1 \ C o l u m n s \ O t r o s < / K e y > < / D i a g r a m O b j e c t K e y > < D i a g r a m O b j e c t K e y > < K e y > T a b l e s \ T a b l a 1 \ C o l u m n s \ P r e s u p u e s t o   S / . < / K e y > < / D i a g r a m O b j e c t K e y > < D i a g r a m O b j e c t K e y > < K e y > T a b l e s \ T a b l a 1 \ C o l u m n s \ A p r o b a d o   S / . < / K e y > < / D i a g r a m O b j e c t K e y > < D i a g r a m O b j e c t K e y > < K e y > T a b l e s \ T a b l a 1 \ C o l u m n s \ %   A p r o b < / K e y > < / D i a g r a m O b j e c t K e y > < D i a g r a m O b j e c t K e y > < K e y > T a b l e s \ T a b l a 1 \ C o l u m n s \ E j e c u t a d o   S / . < / K e y > < / D i a g r a m O b j e c t K e y > < D i a g r a m O b j e c t K e y > < K e y > T a b l e s \ T a b l a 1 \ C o l u m n s \ %   E j e c < / K e y > < / D i a g r a m O b j e c t K e y > < D i a g r a m O b j e c t K e y > < K e y > T a b l e s \ T a b l a 1 \ C o l u m n s \ E s t a d o   p r e s u p u e s t o < / K e y > < / D i a g r a m O b j e c t K e y > < D i a g r a m O b j e c t K e y > < K e y > T a b l e s \ T a b l a 1 \ C o l u m n s \ F e c h a   a p r o b a c i � n < / K e y > < / D i a g r a m O b j e c t K e y > < D i a g r a m O b j e c t K e y > < K e y > T a b l e s \ T a b l a 1 \ C o l u m n s \ m m . a a   f c h   a p r o b < / K e y > < / D i a g r a m O b j e c t K e y > < D i a g r a m O b j e c t K e y > < K e y > T a b l e s \ T a b l a 1 \ C o l u m n s \ A � o   P r o y < / K e y > < / D i a g r a m O b j e c t K e y > < D i a g r a m O b j e c t K e y > < K e y > T a b l e s \ T a b l a 1 \ C o l u m n s \ L � n e a   d e   n e g o c i o < / K e y > < / D i a g r a m O b j e c t K e y > < D i a g r a m O b j e c t K e y > < K e y > T a b l e s \ T a b l a 1 \ C o l u m n s \ P a � s < / K e y > < / D i a g r a m O b j e c t K e y > < D i a g r a m O b j e c t K e y > < K e y > T a b l e s \ T a b l a 1 \ C o l u m n s \ F e c h a   a p r o b a c i � n   ( � n d i c e   d e   m e s e s ) < / K e y > < / D i a g r a m O b j e c t K e y > < D i a g r a m O b j e c t K e y > < K e y > T a b l e s \ T a b l a 1 \ C o l u m n s \ F e c h a   a p r o b a c i � n   ( m e s ) < / K e y > < / D i a g r a m O b j e c t K e y > < D i a g r a m O b j e c t K e y > < K e y > T a b l e s \ T a b l a 1 \ M e a s u r e s \ R e c u e n t o   d e   P r o y e c t o < / K e y > < / D i a g r a m O b j e c t K e y > < D i a g r a m O b j e c t K e y > < K e y > T a b l e s \ T a b l a 1 \ R e c u e n t o   d e   P r o y e c t o \ A d d i t i o n a l   I n f o \ M e d i d a   i m p l � c i t a < / K e y > < / D i a g r a m O b j e c t K e y > < D i a g r a m O b j e c t K e y > < K e y > T a b l e s \ T a b l a 1 \ M e a s u r e s \ R e c u e n t o   d e   S G 5 < / K e y > < / D i a g r a m O b j e c t K e y > < D i a g r a m O b j e c t K e y > < K e y > T a b l e s \ T a b l a 1 \ R e c u e n t o   d e   S G 5 \ A d d i t i o n a l   I n f o \ M e d i d a   i m p l � c i t a < / K e y > < / D i a g r a m O b j e c t K e y > < D i a g r a m O b j e c t K e y > < K e y > T a b l e s \ T a b l a 1 \ M e a s u r e s \ R e c u e n t o   d e   C R M < / K e y > < / D i a g r a m O b j e c t K e y > < D i a g r a m O b j e c t K e y > < K e y > T a b l e s \ T a b l a 1 \ R e c u e n t o   d e   C R M \ A d d i t i o n a l   I n f o \ M e d i d a   i m p l � c i t a < / K e y > < / D i a g r a m O b j e c t K e y > < D i a g r a m O b j e c t K e y > < K e y > T a b l e s \ T a b l a 1 \ M e a s u r e s \ R e c u e n t o   d e   E x a c t u s < / K e y > < / D i a g r a m O b j e c t K e y > < D i a g r a m O b j e c t K e y > < K e y > T a b l e s \ T a b l a 1 \ R e c u e n t o   d e   E x a c t u s \ A d d i t i o n a l   I n f o \ M e d i d a   i m p l � c i t a < / K e y > < / D i a g r a m O b j e c t K e y > < D i a g r a m O b j e c t K e y > < K e y > T a b l e s \ T a b l a 1 \ M e a s u r e s \ R e c u e n t o   d e   W e b < / K e y > < / D i a g r a m O b j e c t K e y > < D i a g r a m O b j e c t K e y > < K e y > T a b l e s \ T a b l a 1 \ R e c u e n t o   d e   W e b \ A d d i t i o n a l   I n f o \ M e d i d a   i m p l � c i t a < / K e y > < / D i a g r a m O b j e c t K e y > < D i a g r a m O b j e c t K e y > < K e y > T a b l e s \ T a b l a 1 \ M e a s u r e s \ R e c u e n t o   d e   E s t a d o   p r o y e c t o < / K e y > < / D i a g r a m O b j e c t K e y > < D i a g r a m O b j e c t K e y > < K e y > T a b l e s \ T a b l a 1 \ R e c u e n t o   d e   E s t a d o   p r o y e c t o \ A d d i t i o n a l   I n f o \ M e d i d a   i m p l � c i t a < / K e y > < / D i a g r a m O b j e c t K e y > < D i a g r a m O b j e c t K e y > < K e y > T a b l e s \ T a b l a 1 \ M e a s u r e s \ S u m a   d e   E j e c u t a d o   S / . < / K e y > < / D i a g r a m O b j e c t K e y > < D i a g r a m O b j e c t K e y > < K e y > T a b l e s \ T a b l a 1 \ S u m a   d e   E j e c u t a d o   S / . \ A d d i t i o n a l   I n f o \ M e d i d a   i m p l � c i t a < / K e y > < / D i a g r a m O b j e c t K e y > < D i a g r a m O b j e c t K e y > < K e y > T a b l e s \ T a b l a 1 \ M e a s u r e s \ S u m a   d e   A p r o b a d o   S / . < / K e y > < / D i a g r a m O b j e c t K e y > < D i a g r a m O b j e c t K e y > < K e y > T a b l e s \ T a b l a 1 \ S u m a   d e   A p r o b a d o   S / . \ A d d i t i o n a l   I n f o \ M e d i d a   i m p l � c i t a < / K e y > < / D i a g r a m O b j e c t K e y > < D i a g r a m O b j e c t K e y > < K e y > T a b l e s \ T a b l a 1 \ M e a s u r e s \ R e c u e n t o   d e   F e c h a   a p r o b a c i � n < / K e y > < / D i a g r a m O b j e c t K e y > < D i a g r a m O b j e c t K e y > < K e y > T a b l e s \ T a b l a 1 \ R e c u e n t o   d e   F e c h a   a p r o b a c i � n \ A d d i t i o n a l   I n f o \ M e d i d a   i m p l � c i t a < / K e y > < / D i a g r a m O b j e c t K e y > < D i a g r a m O b j e c t K e y > < K e y > T a b l e s \ T a b l a 1 \ M e a s u r e s \ S u m a   d e   P r e s u p u e s t o   S / . < / K e y > < / D i a g r a m O b j e c t K e y > < D i a g r a m O b j e c t K e y > < K e y > T a b l e s \ T a b l a 1 \ S u m a   d e   P r e s u p u e s t o   S / . \ A d d i t i o n a l   I n f o \ M e d i d a   i m p l � c i t a < / K e y > < / D i a g r a m O b j e c t K e y > < D i a g r a m O b j e c t K e y > < K e y > T a b l e s \ T a b l a 1 \ M e a s u r e s \ S u m a   d e   A � o   P r o y   2 < / K e y > < / D i a g r a m O b j e c t K e y > < D i a g r a m O b j e c t K e y > < K e y > T a b l e s \ T a b l a 1 \ S u m a   d e   A � o   P r o y   2 \ A d d i t i o n a l   I n f o \ M e d i d a   i m p l � c i t a < / K e y > < / D i a g r a m O b j e c t K e y > < D i a g r a m O b j e c t K e y > < K e y > T a b l e s \ T a b l a 1 \ M e a s u r e s \ S u m a   d e   %   A p r o b < / K e y > < / D i a g r a m O b j e c t K e y > < D i a g r a m O b j e c t K e y > < K e y > T a b l e s \ T a b l a 1 \ S u m a   d e   %   A p r o b \ A d d i t i o n a l   I n f o \ M e d i d a   i m p l � c i t a < / K e y > < / D i a g r a m O b j e c t K e y > < D i a g r a m O b j e c t K e y > < K e y > T a b l e s \ T a b l a 1 \ M e a s u r e s \ S u m a   d e   %   E j e c < / K e y > < / D i a g r a m O b j e c t K e y > < D i a g r a m O b j e c t K e y > < K e y > T a b l e s \ T a b l a 1 \ S u m a   d e   %   E j e c \ A d d i t i o n a l   I n f o \ M e d i d a   i m p l � c i t a < / K e y > < / D i a g r a m O b j e c t K e y > < D i a g r a m O b j e c t K e y > < K e y > R e l a t i o n s h i p s \ & l t ; T a b l e s \ T a b l a 2 \ C o l u m n s \ L l a v e & g t ; - & l t ; T a b l e s \ T a b l a 1 \ C o l u m n s \ L l a v e & g t ; < / K e y > < / D i a g r a m O b j e c t K e y > < D i a g r a m O b j e c t K e y > < K e y > R e l a t i o n s h i p s \ & l t ; T a b l e s \ T a b l a 2 \ C o l u m n s \ L l a v e & g t ; - & l t ; T a b l e s \ T a b l a 1 \ C o l u m n s \ L l a v e & g t ; \ F K < / K e y > < / D i a g r a m O b j e c t K e y > < D i a g r a m O b j e c t K e y > < K e y > R e l a t i o n s h i p s \ & l t ; T a b l e s \ T a b l a 2 \ C o l u m n s \ L l a v e & g t ; - & l t ; T a b l e s \ T a b l a 1 \ C o l u m n s \ L l a v e & g t ; \ P K < / K e y > < / D i a g r a m O b j e c t K e y > < D i a g r a m O b j e c t K e y > < K e y > R e l a t i o n s h i p s \ & l t ; T a b l e s \ T a b l a 2 \ C o l u m n s \ L l a v e & g t ; - & l t ; T a b l e s \ T a b l a 1 \ C o l u m n s \ L l a v e & g t ; \ C r o s s F i l t e r < / K e y > < / D i a g r a m O b j e c t K e y > < / A l l K e y s > < S e l e c t e d K e y s > < D i a g r a m O b j e c t K e y > < K e y > T a b l e s \ T a b l a 2 \ C o l u m n s \ P r o v e e d o r 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 T a g s \ T a b l e s \ & l t ; T a b l e s \ T a b l a 2 & g t ; 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 T a g s \ T a b l e s \ & l t ; T a b l e s \ T a b l a 1 & g t ; 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 T a b l e s \ T a b l a 2 < / K e y > < / a : K e y > < a : V a l u e   i : t y p e = " D i a g r a m D i s p l a y N o d e V i e w S t a t e " > < H e i g h t > 1 5 0 < / H e i g h t > < I s E x p a n d e d > t r u e < / I s E x p a n d e d > < L a y e d O u t > t r u e < / L a y e d O u t > < S c r o l l V e r t i c a l O f f s e t > 0 . 5 9 9 9 9 9 9 9 9 9 9 9 9 9 4 3 2 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 T a b l e s \ T a b l a 2 \ C o l u m n s \ L l a v e 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 T a b l e s \ T a b l a 2 \ C o l u m n s \ A � o   P r o y 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 T a b l e s \ T a b l a 2 \ C o l u m n s \ P r o v e e d o r 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 T a b l e s \ T a b l a 2 \ C o l u m n s \ C � d i g o 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 T a b l e s \ T a b l a 2 \ C o l u m n s \ F a c t u r a 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 T a b l e s \ T a b l a 2 \ C o l u m n s \ M e s   a p r o b 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 T a b l e s \ T a b l a 2 \ C o l u m n s \ P r o y e c t o 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 T a b l e s \ T a b l a 2 \ C o l u m n s \ #   C u o t a 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 T a b l e s \ T a b l a 2 \ C o l u m n s \ D e t a l l e   c u o t a 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 T a b l e s \ T a b l a 2 \ C o l u m n s \ C u o t a 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 T a b l e s \ T a b l a 2 \ C o l u m n s \ T o t a l   c u o t a s 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 T a b l e s \ T a b l a 2 \ C o l u m n s \ M o n e d a 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 T a b l e s \ T a b l a 2 \ C o l u m n s \ C u o t a   S / . 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 T a b l e s \ T a b l a 2 \ C o l u m n s \ C u e n t a 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 T a b l e s \ T a b l a 2 \ C o l u m n s \ P a � s 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 T a b l e s \ T a b l a 2 \ C o l u m n s \ � r e a 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 T a b l e s \ T a b l a 2 \ C o l u m n s \ E s t a d o 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 T a b l e s \ T a b l a 2 \ C o l u m n s \ F   V e n c 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 T a b l e s \ T a b l a 2 \ C o l u m n s \ F e c h a   p a g o 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 T a b l e s \ T a b l a 2 \ C o l u m n s \ m m . a a 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 T a b l e s \ T a b l a 2 \ C o l u m n s \ S i s t e m a 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 T a b l e s \ T a b l a 2 \ C o l u m n s \ F e c h a   ( a � o ) 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 T a b l e s \ T a b l a 2 \ C o l u m n s \ F e c h a   ( t r i m e s t r e ) 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 T a b l e s \ T a b l a 2 \ C o l u m n s \ F e c h a   ( � n d i c e   d e   m e s e s ) 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 T a b l e s \ T a b l a 2 \ C o l u m n s \ F e c h a   ( m e s ) 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 T a b l e s \ T a b l a 2 \ C o l u m n s \ m m . a a   ( a � o ) 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 T a b l e s \ T a b l a 2 \ C o l u m n s \ m m . a a   ( t r i m e s t r e ) 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 T a b l e s \ T a b l a 2 \ C o l u m n s \ m m . a a   ( � n d i c e   d e   m e s e s ) 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 T a b l e s \ T a b l a 2 \ C o l u m n s \ m m . a a   ( m e s ) 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 T a b l e s \ T a b l a 2 \ C o l u m n s \ M e s   a p r o b   ( a � o ) 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 T a b l e s \ T a b l a 2 \ C o l u m n s \ M e s   a p r o b   ( t r i m e s t r e ) 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 T a b l e s \ T a b l a 2 \ C o l u m n s \ M e s   a p r o b   ( � n d i c e   d e   m e s e s ) 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 T a b l e s \ T a b l a 2 \ C o l u m n s \ M e s   a p r o b   ( m e s ) 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 T a b l e s \ T a b l a 2 \ M e a s u r e s \ S u m a   d e   A � o   P r o y 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 T a b l e s \ T a b l a 2 \ S u m a   d e   A � o   P r o y \ A d d i t i o n a l 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 T a b l e s \ T a b l a 2 \ M e a s u r e s \ S u m a   d e   C u o t a 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 T a b l e s \ T a b l a 2 \ S u m a   d e   C u o t a \ A d d i t i o n a l 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 T a b l e s \ T a b l a 1 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S c r o l l V e r t i c a l O f f s e t > 4 1 6 < / S c r o l l V e r t i c a l O f f s e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 T a b l e s \ T a b l a 1 \ C o l u m n s \ L l a v e 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 T a b l e s \ T a b l a 1 \ C o l u m n s \ P r o y e c t o 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 T a b l e s \ T a b l a 1 \ C o l u m n s \ A l c a n c e 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 T a b l e s \ T a b l a 1 \ C o l u m n s \ � r e a 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 T a b l e s \ T a b l a 1 \ C o l u m n s \ S u b - � r e a 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 T a b l e s \ T a b l a 1 \ C o l u m n s \ I n v o l u c r a d a s 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 T a b l e s \ T a b l a 1 \ C o l u m n s \ T a m a � o 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 T a b l e s \ T a b l a 1 \ C o l u m n s \ P u n t a j e 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 T a b l e s \ T a b l a 1 \ C o l u m n s \ E s f u e r z o 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 T a b l e s \ T a b l a 1 \ C o l u m n s \ L � d e r 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 T a b l e s \ T a b l a 1 \ C o l u m n s \ P . M a n a g e r 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 T a b l e s \ T a b l a 1 \ C o l u m n s \ E s t a d o   p r o y e c t o 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 T a b l e s \ T a b l a 1 \ C o l u m n s \ P r o v e e d o r   p r i n c i p a l 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 T a b l e s \ T a b l a 1 \ C o l u m n s \ S G 5 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 T a b l e s \ T a b l a 1 \ C o l u m n s \ C R M 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 T a b l e s \ T a b l a 1 \ C o l u m n s \ E x a c t u s 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 T a b l e s \ T a b l a 1 \ C o l u m n s \ W e b 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 T a b l e s \ T a b l a 1 \ C o l u m n s \ O t r o s 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 T a b l e s \ T a b l a 1 \ C o l u m n s \ P r e s u p u e s t o   S / . 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 T a b l e s \ T a b l a 1 \ C o l u m n s \ A p r o b a d o   S / . 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 T a b l e s \ T a b l a 1 \ C o l u m n s \ %   A p r o b 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 T a b l e s \ T a b l a 1 \ C o l u m n s \ E j e c u t a d o   S / . 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 T a b l e s \ T a b l a 1 \ C o l u m n s \ %   E j e c 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 T a b l e s \ T a b l a 1 \ C o l u m n s \ E s t a d o   p r e s u p u e s t o 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 T a b l e s \ T a b l a 1 \ C o l u m n s \ F e c h a   a p r o b a c i � n 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 T a b l e s \ T a b l a 1 \ C o l u m n s \ m m . a a   f c h   a p r o b 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 T a b l e s \ T a b l a 1 \ C o l u m n s \ A � o   P r o y 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 T a b l e s \ T a b l a 1 \ C o l u m n s \ L � n e a   d e   n e g o c i o 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 T a b l e s \ T a b l a 1 \ C o l u m n s \ P a � s 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 T a b l e s \ T a b l a 1 \ C o l u m n s \ F e c h a   a p r o b a c i � n   ( � n d i c e   d e   m e s e s ) 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 T a b l e s \ T a b l a 1 \ C o l u m n s \ F e c h a   a p r o b a c i � n   ( m e s ) 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 T a b l e s \ T a b l a 1 \ M e a s u r e s \ R e c u e n t o   d e   P r o y e c t o 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 T a b l e s \ T a b l a 1 \ R e c u e n t o   d e   P r o y e c t o \ A d d i t i o n a l 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 T a b l e s \ T a b l a 1 \ M e a s u r e s \ R e c u e n t o   d e   S G 5 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 T a b l e s \ T a b l a 1 \ R e c u e n t o   d e   S G 5 \ A d d i t i o n a l 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 T a b l e s \ T a b l a 1 \ M e a s u r e s \ R e c u e n t o   d e   C R M 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 T a b l e s \ T a b l a 1 \ R e c u e n t o   d e   C R M \ A d d i t i o n a l 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 T a b l e s \ T a b l a 1 \ M e a s u r e s \ R e c u e n t o   d e   E x a c t u s 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 T a b l e s \ T a b l a 1 \ R e c u e n t o   d e   E x a c t u s \ A d d i t i o n a l 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 T a b l e s \ T a b l a 1 \ M e a s u r e s \ R e c u e n t o   d e   W e b 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 T a b l e s \ T a b l a 1 \ R e c u e n t o   d e   W e b \ A d d i t i o n a l 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 T a b l e s \ T a b l a 1 \ M e a s u r e s \ R e c u e n t o   d e   E s t a d o   p r o y e c t o 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 T a b l e s \ T a b l a 1 \ R e c u e n t o   d e   E s t a d o   p r o y e c t o \ A d d i t i o n a l 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 T a b l e s \ T a b l a 1 \ M e a s u r e s \ S u m a   d e   E j e c u t a d o   S / . 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 T a b l e s \ T a b l a 1 \ S u m a   d e   E j e c u t a d o   S / . \ A d d i t i o n a l 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 T a b l e s \ T a b l a 1 \ M e a s u r e s \ S u m a   d e   A p r o b a d o   S / . 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 T a b l e s \ T a b l a 1 \ S u m a   d e   A p r o b a d o   S / . \ A d d i t i o n a l 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 T a b l e s \ T a b l a 1 \ M e a s u r e s \ R e c u e n t o   d e   F e c h a   a p r o b a c i � n 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 T a b l e s \ T a b l a 1 \ R e c u e n t o   d e   F e c h a   a p r o b a c i � n \ A d d i t i o n a l 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 T a b l e s \ T a b l a 1 \ M e a s u r e s \ S u m a   d e   P r e s u p u e s t o   S / . 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 T a b l e s \ T a b l a 1 \ S u m a   d e   P r e s u p u e s t o   S / . \ A d d i t i o n a l 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 T a b l e s \ T a b l a 1 \ M e a s u r e s \ S u m a   d e   A � o   P r o y 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 T a b l e s \ T a b l a 1 \ S u m a   d e   A � o   P r o y   2 \ A d d i t i o n a l 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 T a b l e s \ T a b l a 1 \ M e a s u r e s \ S u m a   d e   %   A p r o b 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 T a b l e s \ T a b l a 1 \ S u m a   d e   %   A p r o b \ A d d i t i o n a l 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 T a b l e s \ T a b l a 1 \ M e a s u r e s \ S u m a   d e   %   E j e c 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 T a b l e s \ T a b l a 1 \ S u m a   d e   %   E j e c \ A d d i t i o n a l 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 R e l a t i o n s h i p s \ & l t ; T a b l e s \ T a b l a 2 \ C o l u m n s \ L l a v e & g t ; - & l t ; T a b l e s \ T a b l a 1 \ C o l u m n s \ L l a v e & g t ; < / K e y > < / a : K e y > < a : V a l u e   i : t y p e = " D i a g r a m D i s p l a y L i n k V i e w S t a t e " > < A u t o m a t i o n P r o p e r t y H e l p e r T e x t > E x t r e m o   1 :   ( 2 1 6 , 7 5 ) .   E x t r e m o   2 :   ( 3 1 3 . 9 0 3 8 1 0 5 6 7 6 6 6 , 7 5 ) 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 2 1 6 . 0 0 0 0 0 0 0 0 0 0 0 0 0 3 < / b : _ x > < b : _ y > 7 5 < / b : _ y > < / b : P o i n t > < b : P o i n t > < b : _ x > 3 1 3 . 9 0 3 8 1 0 5 6 7 6 6 5 8 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 R e l a t i o n s h i p s \ & l t ; T a b l e s \ T a b l a 2 \ C o l u m n s \ L l a v e & g t ; - & l t ; T a b l e s \ T a b l a 1 \ C o l u m n s \ L l a v e & g t ; \ F K 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 2 0 0 . 0 0 0 0 0 0 0 0 0 0 0 0 0 3 < / b : _ x > < b : _ y > 6 7 < / b : _ y > < / L a b e l L o c a t i o n > < L o c a t i o n   x m l n s : b = " h t t p : / / s c h e m a s . d a t a c o n t r a c t . o r g / 2 0 0 4 / 0 7 / S y s t e m . W i n d o w s " > < b : _ x > 2 0 0 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 R e l a t i o n s h i p s \ & l t ; T a b l e s \ T a b l a 2 \ C o l u m n s \ L l a v e & g t ; - & l t ; T a b l e s \ T a b l a 1 \ C o l u m n s \ L l a v e & g t ; \ P K 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 3 1 3 . 9 0 3 8 1 0 5 6 7 6 6 5 8 < / b : _ x > < b : _ y > 6 7 < / b : _ y > < / L a b e l L o c a t i o n > < L o c a t i o n   x m l n s : b = " h t t p : / / s c h e m a s . d a t a c o n t r a c t . o r g / 2 0 0 4 / 0 7 / S y s t e m . W i n d o w s " > < b : _ x > 3 2 9 . 9 0 3 8 1 0 5 6 7 6 6 5 8 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 R e l a t i o n s h i p s \ & l t ; T a b l e s \ T a b l a 2 \ C o l u m n s \ L l a v e & g t ; - & l t ; T a b l e s \ T a b l a 1 \ C o l u m n s \ L l a v e & g t ; \ C r o s s F i l t e r 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 2 1 6 . 0 0 0 0 0 0 0 0 0 0 0 0 0 3 < / b : _ x > < b : _ y > 7 5 < / b : _ y > < / b : P o i n t > < b : P o i n t > < b : _ x > 3 1 3 . 9 0 3 8 1 0 5 6 7 6 6 5 8 < / b : _ x > < b : _ y > 7 5 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T a b l a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 6 1 < / i n t > < / v a l u e > < / i t e m > < i t e m > < k e y > < s t r i n g > A � o   P r o y < / s t r i n g > < / k e y > < v a l u e > < i n t > 1 1 4 < / i n t > < / v a l u e > < / i t e m > < i t e m > < k e y > < s t r i n g > F e c h a < / s t r i n g > < / k e y > < v a l u e > < i n t > 8 8 < / i n t > < / v a l u e > < / i t e m > < i t e m > < k e y > < s t r i n g > P r o v e e d o r < / s t r i n g > < / k e y > < v a l u e > < i n t > 1 2 4 < / i n t > < / v a l u e > < / i t e m > < i t e m > < k e y > < s t r i n g > C � d i g o < / s t r i n g > < / k e y > < v a l u e > < i n t > 9 6 < / i n t > < / v a l u e > < / i t e m > < i t e m > < k e y > < s t r i n g > F a c t u r a < / s t r i n g > < / k e y > < v a l u e > < i n t > 1 0 0 < / i n t > < / v a l u e > < / i t e m > < i t e m > < k e y > < s t r i n g > M e s   a p r o b < / s t r i n g > < / k e y > < v a l u e > < i n t > 1 2 6 < / i n t > < / v a l u e > < / i t e m > < i t e m > < k e y > < s t r i n g > O S < / s t r i n g > < / k e y > < v a l u e > < i n t > 6 5 < / i n t > < / v a l u e > < / i t e m > < i t e m > < k e y > < s t r i n g > P r o y e c t o < / s t r i n g > < / k e y > < v a l u e > < i n t > 1 1 2 < / i n t > < / v a l u e > < / i t e m > < i t e m > < k e y > < s t r i n g > #   C u o t a < / s t r i n g > < / k e y > < v a l u e > < i n t > 1 0 1 < / i n t > < / v a l u e > < / i t e m > < i t e m > < k e y > < s t r i n g > D e t a l l e   c u o t a < / s t r i n g > < / k e y > < v a l u e > < i n t > 1 4 3 < / i n t > < / v a l u e > < / i t e m > < i t e m > < k e y > < s t r i n g > C u o t a < / s t r i n g > < / k e y > < v a l u e > < i n t > 8 8 < / i n t > < / v a l u e > < / i t e m > < i t e m > < k e y > < s t r i n g > T o t a l   c u o t a s < / s t r i n g > < / k e y > < v a l u e > < i n t > 1 3 4 < / i n t > < / v a l u e > < / i t e m > < i t e m > < k e y > < s t r i n g > M o n e d a < / s t r i n g > < / k e y > < v a l u e > < i n t > 1 0 7 < / i n t > < / v a l u e > < / i t e m > < i t e m > < k e y > < s t r i n g > C u o t a   S / . < / s t r i n g > < / k e y > < v a l u e > < i n t > 1 1 7 < / i n t > < / v a l u e > < / i t e m > < i t e m > < k e y > < s t r i n g > C u e n t a < / s t r i n g > < / k e y > < v a l u e > < i n t > 9 7 < / i n t > < / v a l u e > < / i t e m > < i t e m > < k e y > < s t r i n g > P a � s < / s t r i n g > < / k e y > < v a l u e > < i n t > 7 4 < / i n t > < / v a l u e > < / i t e m > < i t e m > < k e y > < s t r i n g > � r e a < / s t r i n g > < / k e y > < v a l u e > < i n t > 7 9 < / i n t > < / v a l u e > < / i t e m > < i t e m > < k e y > < s t r i n g > E s t a d o < / s t r i n g > < / k e y > < v a l u e > < i n t > 9 5 < / i n t > < / v a l u e > < / i t e m > < i t e m > < k e y > < s t r i n g > F   V e n c < / s t r i n g > < / k e y > < v a l u e > < i n t > 9 3 < / i n t > < / v a l u e > < / i t e m > < i t e m > < k e y > < s t r i n g > F e c h a   p a g o < / s t r i n g > < / k e y > < v a l u e > < i n t > 1 3 0 < / i n t > < / v a l u e > < / i t e m > < i t e m > < k e y > < s t r i n g > m m . a a < / s t r i n g > < / k e y > < v a l u e > < i n t > 9 6 < / i n t > < / v a l u e > < / i t e m > < i t e m > < k e y > < s t r i n g > S i s t e m a < / s t r i n g > < / k e y > < v a l u e > < i n t > 1 0 3 < / i n t > < / v a l u e > < / i t e m > < i t e m > < k e y > < s t r i n g > L l a v e < / s t r i n g > < / k e y > < v a l u e > < i n t > 8 6 < / i n t > < / v a l u e > < / i t e m > < i t e m > < k e y > < s t r i n g > F e c h a   ( a � o ) < / s t r i n g > < / k e y > < v a l u e > < i n t > 1 3 3 < / i n t > < / v a l u e > < / i t e m > < i t e m > < k e y > < s t r i n g > F e c h a   ( t r i m e s t r e ) < / s t r i n g > < / k e y > < v a l u e > < i n t > 1 7 5 < / i n t > < / v a l u e > < / i t e m > < i t e m > < k e y > < s t r i n g > F e c h a   ( � n d i c e   d e   m e s e s ) < / s t r i n g > < / k e y > < v a l u e > < i n t > 2 2 5 < / i n t > < / v a l u e > < / i t e m > < i t e m > < k e y > < s t r i n g > F e c h a   ( m e s ) < / s t r i n g > < / k e y > < v a l u e > < i n t > 1 3 6 < / i n t > < / v a l u e > < / i t e m > < i t e m > < k e y > < s t r i n g > m m . a a   ( a � o ) < / s t r i n g > < / k e y > < v a l u e > < i n t > 1 4 7 < / i n t > < / v a l u e > < / i t e m > < i t e m > < k e y > < s t r i n g > m m . a a   ( t r i m e s t r e ) < / s t r i n g > < / k e y > < v a l u e > < i n t > 1 8 6 < / i n t > < / v a l u e > < / i t e m > < i t e m > < k e y > < s t r i n g > m m . a a   ( � n d i c e   d e   m e s e s ) < / s t r i n g > < / k e y > < v a l u e > < i n t > 2 5 4 < / i n t > < / v a l u e > < / i t e m > < i t e m > < k e y > < s t r i n g > m m . a a   ( m e s ) < / s t r i n g > < / k e y > < v a l u e > < i n t > 1 5 1 < / i n t > < / v a l u e > < / i t e m > < i t e m > < k e y > < s t r i n g > M e s   a p r o b   ( a � o ) < / s t r i n g > < / k e y > < v a l u e > < i n t > 1 8 0 < / i n t > < / v a l u e > < / i t e m > < i t e m > < k e y > < s t r i n g > M e s   a p r o b   ( t r i m e s t r e ) < / s t r i n g > < / k e y > < v a l u e > < i n t > 2 1 9 < / i n t > < / v a l u e > < / i t e m > < i t e m > < k e y > < s t r i n g > M e s   a p r o b   ( � n d i c e   d e   m e s e s ) < / s t r i n g > < / k e y > < v a l u e > < i n t > 2 8 7 < / i n t > < / v a l u e > < / i t e m > < i t e m > < k e y > < s t r i n g > M e s   a p r o b   ( m e s ) < / s t r i n g > < / k e y > < v a l u e > < i n t > 1 8 4 < / i n t > < / v a l u e > < / i t e m > < / C o l u m n W i d t h s > < C o l u m n D i s p l a y I n d e x > < i t e m > < k e y > < s t r i n g > I D < / s t r i n g > < / k e y > < v a l u e > < i n t > 1 < / i n t > < / v a l u e > < / i t e m > < i t e m > < k e y > < s t r i n g > A � o   P r o y < / s t r i n g > < / k e y > < v a l u e > < i n t > 2 < / i n t > < / v a l u e > < / i t e m > < i t e m > < k e y > < s t r i n g > F e c h a < / s t r i n g > < / k e y > < v a l u e > < i n t > 3 < / i n t > < / v a l u e > < / i t e m > < i t e m > < k e y > < s t r i n g > P r o v e e d o r < / s t r i n g > < / k e y > < v a l u e > < i n t > 4 < / i n t > < / v a l u e > < / i t e m > < i t e m > < k e y > < s t r i n g > C � d i g o < / s t r i n g > < / k e y > < v a l u e > < i n t > 5 < / i n t > < / v a l u e > < / i t e m > < i t e m > < k e y > < s t r i n g > F a c t u r a < / s t r i n g > < / k e y > < v a l u e > < i n t > 6 < / i n t > < / v a l u e > < / i t e m > < i t e m > < k e y > < s t r i n g > M e s   a p r o b < / s t r i n g > < / k e y > < v a l u e > < i n t > 7 < / i n t > < / v a l u e > < / i t e m > < i t e m > < k e y > < s t r i n g > O S < / s t r i n g > < / k e y > < v a l u e > < i n t > 8 < / i n t > < / v a l u e > < / i t e m > < i t e m > < k e y > < s t r i n g > P r o y e c t o < / s t r i n g > < / k e y > < v a l u e > < i n t > 9 < / i n t > < / v a l u e > < / i t e m > < i t e m > < k e y > < s t r i n g > #   C u o t a < / s t r i n g > < / k e y > < v a l u e > < i n t > 1 0 < / i n t > < / v a l u e > < / i t e m > < i t e m > < k e y > < s t r i n g > D e t a l l e   c u o t a < / s t r i n g > < / k e y > < v a l u e > < i n t > 1 1 < / i n t > < / v a l u e > < / i t e m > < i t e m > < k e y > < s t r i n g > C u o t a < / s t r i n g > < / k e y > < v a l u e > < i n t > 1 2 < / i n t > < / v a l u e > < / i t e m > < i t e m > < k e y > < s t r i n g > T o t a l   c u o t a s < / s t r i n g > < / k e y > < v a l u e > < i n t > 1 3 < / i n t > < / v a l u e > < / i t e m > < i t e m > < k e y > < s t r i n g > M o n e d a < / s t r i n g > < / k e y > < v a l u e > < i n t > 1 4 < / i n t > < / v a l u e > < / i t e m > < i t e m > < k e y > < s t r i n g > C u o t a   S / . < / s t r i n g > < / k e y > < v a l u e > < i n t > 2 7 < / i n t > < / v a l u e > < / i t e m > < i t e m > < k e y > < s t r i n g > C u e n t a < / s t r i n g > < / k e y > < v a l u e > < i n t > 1 5 < / i n t > < / v a l u e > < / i t e m > < i t e m > < k e y > < s t r i n g > P a � s < / s t r i n g > < / k e y > < v a l u e > < i n t > 1 6 < / i n t > < / v a l u e > < / i t e m > < i t e m > < k e y > < s t r i n g > � r e a < / s t r i n g > < / k e y > < v a l u e > < i n t > 1 7 < / i n t > < / v a l u e > < / i t e m > < i t e m > < k e y > < s t r i n g > E s t a d o < / s t r i n g > < / k e y > < v a l u e > < i n t > 1 8 < / i n t > < / v a l u e > < / i t e m > < i t e m > < k e y > < s t r i n g > F   V e n c < / s t r i n g > < / k e y > < v a l u e > < i n t > 1 9 < / i n t > < / v a l u e > < / i t e m > < i t e m > < k e y > < s t r i n g > F e c h a   p a g o < / s t r i n g > < / k e y > < v a l u e > < i n t > 2 2 < / i n t > < / v a l u e > < / i t e m > < i t e m > < k e y > < s t r i n g > m m . a a < / s t r i n g > < / k e y > < v a l u e > < i n t > 2 0 < / i n t > < / v a l u e > < / i t e m > < i t e m > < k e y > < s t r i n g > S i s t e m a < / s t r i n g > < / k e y > < v a l u e > < i n t > 2 1 < / i n t > < / v a l u e > < / i t e m > < i t e m > < k e y > < s t r i n g > L l a v e < / s t r i n g > < / k e y > < v a l u e > < i n t > 0 < / i n t > < / v a l u e > < / i t e m > < i t e m > < k e y > < s t r i n g > F e c h a   ( a � o ) < / s t r i n g > < / k e y > < v a l u e > < i n t > 2 3 < / i n t > < / v a l u e > < / i t e m > < i t e m > < k e y > < s t r i n g > F e c h a   ( t r i m e s t r e ) < / s t r i n g > < / k e y > < v a l u e > < i n t > 2 4 < / i n t > < / v a l u e > < / i t e m > < i t e m > < k e y > < s t r i n g > F e c h a   ( � n d i c e   d e   m e s e s ) < / s t r i n g > < / k e y > < v a l u e > < i n t > 2 5 < / i n t > < / v a l u e > < / i t e m > < i t e m > < k e y > < s t r i n g > F e c h a   ( m e s ) < / s t r i n g > < / k e y > < v a l u e > < i n t > 2 6 < / i n t > < / v a l u e > < / i t e m > < i t e m > < k e y > < s t r i n g > m m . a a   ( a � o ) < / s t r i n g > < / k e y > < v a l u e > < i n t > 2 8 < / i n t > < / v a l u e > < / i t e m > < i t e m > < k e y > < s t r i n g > m m . a a   ( t r i m e s t r e ) < / s t r i n g > < / k e y > < v a l u e > < i n t > 2 9 < / i n t > < / v a l u e > < / i t e m > < i t e m > < k e y > < s t r i n g > m m . a a   ( � n d i c e   d e   m e s e s ) < / s t r i n g > < / k e y > < v a l u e > < i n t > 3 0 < / i n t > < / v a l u e > < / i t e m > < i t e m > < k e y > < s t r i n g > m m . a a   ( m e s ) < / s t r i n g > < / k e y > < v a l u e > < i n t > 3 1 < / i n t > < / v a l u e > < / i t e m > < i t e m > < k e y > < s t r i n g > M e s   a p r o b   ( a � o ) < / s t r i n g > < / k e y > < v a l u e > < i n t > 3 2 < / i n t > < / v a l u e > < / i t e m > < i t e m > < k e y > < s t r i n g > M e s   a p r o b   ( t r i m e s t r e ) < / s t r i n g > < / k e y > < v a l u e > < i n t > 3 3 < / i n t > < / v a l u e > < / i t e m > < i t e m > < k e y > < s t r i n g > M e s   a p r o b   ( � n d i c e   d e   m e s e s ) < / s t r i n g > < / k e y > < v a l u e > < i n t > 3 4 < / i n t > < / v a l u e > < / i t e m > < i t e m > < k e y > < s t r i n g > M e s   a p r o b   ( m e s ) < / s t r i n g > < / k e y > < v a l u e > < i n t > 3 5 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 2 0 2 4 - 0 7 - 1 7 T 0 9 : 5 5 : 0 5 . 6 8 1 3 1 4 2 - 0 5 : 0 0 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T a b l a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 L l a v e < / s t r i n g > < / k e y > < v a l u e > < i n t > 8 2 < / i n t > < / v a l u e > < / i t e m > < i t e m > < k e y > < s t r i n g > I D < / s t r i n g > < / k e y > < v a l u e > < i n t > 6 1 < / i n t > < / v a l u e > < / i t e m > < i t e m > < k e y > < s t r i n g > P r o y e c t o < / s t r i n g > < / k e y > < v a l u e > < i n t > 1 1 2 < / i n t > < / v a l u e > < / i t e m > < i t e m > < k e y > < s t r i n g > A l c a n c e < / s t r i n g > < / k e y > < v a l u e > < i n t > 1 0 2 < / i n t > < / v a l u e > < / i t e m > < i t e m > < k e y > < s t r i n g > � r e a < / s t r i n g > < / k e y > < v a l u e > < i n t > 7 9 < / i n t > < / v a l u e > < / i t e m > < i t e m > < k e y > < s t r i n g > S u b - � r e a < / s t r i n g > < / k e y > < v a l u e > < i n t > 1 1 4 < / i n t > < / v a l u e > < / i t e m > < i t e m > < k e y > < s t r i n g > I n v o l u c r a d a s < / s t r i n g > < / k e y > < v a l u e > < i n t > 1 4 3 < / i n t > < / v a l u e > < / i t e m > < i t e m > < k e y > < s t r i n g > T a m a � o < / s t r i n g > < / k e y > < v a l u e > < i n t > 1 0 4 < / i n t > < / v a l u e > < / i t e m > < i t e m > < k e y > < s t r i n g > P u n t a j e < / s t r i n g > < / k e y > < v a l u e > < i n t > 1 0 2 < / i n t > < / v a l u e > < / i t e m > < i t e m > < k e y > < s t r i n g > E s f u e r z o < / s t r i n g > < / k e y > < v a l u e > < i n t > 1 1 0 < / i n t > < / v a l u e > < / i t e m > < i t e m > < k e y > < s t r i n g > L � d e r < / s t r i n g > < / k e y > < v a l u e > < i n t > 8 1 < / i n t > < / v a l u e > < / i t e m > < i t e m > < k e y > < s t r i n g > P . M a n a g e r < / s t r i n g > < / k e y > < v a l u e > < i n t > 1 2 5 < / i n t > < / v a l u e > < / i t e m > < i t e m > < k e y > < s t r i n g > E s t a d o   p r o y e c t o < / s t r i n g > < / k e y > < v a l u e > < i n t > 1 6 8 < / i n t > < / v a l u e > < / i t e m > < i t e m > < k e y > < s t r i n g > P r o v e e d o r   p r i n c i p a l < / s t r i n g > < / k e y > < v a l u e > < i n t > 1 9 4 < / i n t > < / v a l u e > < / i t e m > < i t e m > < k e y > < s t r i n g > S G 5 < / s t r i n g > < / k e y > < v a l u e > < i n t > 7 4 < / i n t > < / v a l u e > < / i t e m > < i t e m > < k e y > < s t r i n g > C R M < / s t r i n g > < / k e y > < v a l u e > < i n t > 7 9 < / i n t > < / v a l u e > < / i t e m > < i t e m > < k e y > < s t r i n g > E x a c t u s < / s t r i n g > < / k e y > < v a l u e > < i n t > 1 0 1 < / i n t > < / v a l u e > < / i t e m > < i t e m > < k e y > < s t r i n g > W e b < / s t r i n g > < / k e y > < v a l u e > < i n t > 7 8 < / i n t > < / v a l u e > < / i t e m > < i t e m > < k e y > < s t r i n g > O t r o s < / s t r i n g > < / k e y > < v a l u e > < i n t > 8 7 < / i n t > < / v a l u e > < / i t e m > < i t e m > < k e y > < s t r i n g > P r e s u p u e s t o   S / . < / s t r i n g > < / k e y > < v a l u e > < i n t > 1 6 5 < / i n t > < / v a l u e > < / i t e m > < i t e m > < k e y > < s t r i n g > A p r o b a d o   S / . < / s t r i n g > < / k e y > < v a l u e > < i n t > 1 4 5 < / i n t > < / v a l u e > < / i t e m > < i t e m > < k e y > < s t r i n g > %   A p r o b < / s t r i n g > < / k e y > < v a l u e > < i n t > 1 0 9 < / i n t > < / v a l u e > < / i t e m > < i t e m > < k e y > < s t r i n g > E j e c u t a d o   S / . < / s t r i n g > < / k e y > < v a l u e > < i n t > 1 4 4 < / i n t > < / v a l u e > < / i t e m > < i t e m > < k e y > < s t r i n g > %   E j e c < / s t r i n g > < / k e y > < v a l u e > < i n t > 9 2 < / i n t > < / v a l u e > < / i t e m > < i t e m > < k e y > < s t r i n g > E s t a d o   p r e s u p u e s t o < / s t r i n g > < / k e y > < v a l u e > < i n t > 1 9 6 < / i n t > < / v a l u e > < / i t e m > < i t e m > < k e y > < s t r i n g > F e c h a   a p r o b a c i � n < / s t r i n g > < / k e y > < v a l u e > < i n t > 1 7 9 < / i n t > < / v a l u e > < / i t e m > < i t e m > < k e y > < s t r i n g > m m . a a   f c h   a p r o b < / s t r i n g > < / k e y > < v a l u e > < i n t > 1 7 4 < / i n t > < / v a l u e > < / i t e m > < i t e m > < k e y > < s t r i n g > A � o   P r o y < / s t r i n g > < / k e y > < v a l u e > < i n t > 1 1 4 < / i n t > < / v a l u e > < / i t e m > < i t e m > < k e y > < s t r i n g > L � n e a   d e   n e g o c i o < / s t r i n g > < / k e y > < v a l u e > < i n t > 1 7 0 < / i n t > < / v a l u e > < / i t e m > < i t e m > < k e y > < s t r i n g > P a � s < / s t r i n g > < / k e y > < v a l u e > < i n t > 7 4 < / i n t > < / v a l u e > < / i t e m > < / C o l u m n W i d t h s > < C o l u m n D i s p l a y I n d e x > < i t e m > < k e y > < s t r i n g > L l a v e < / s t r i n g > < / k e y > < v a l u e > < i n t > 0 < / i n t > < / v a l u e > < / i t e m > < i t e m > < k e y > < s t r i n g > I D < / s t r i n g > < / k e y > < v a l u e > < i n t > 1 < / i n t > < / v a l u e > < / i t e m > < i t e m > < k e y > < s t r i n g > P r o y e c t o < / s t r i n g > < / k e y > < v a l u e > < i n t > 2 < / i n t > < / v a l u e > < / i t e m > < i t e m > < k e y > < s t r i n g > A l c a n c e < / s t r i n g > < / k e y > < v a l u e > < i n t > 3 < / i n t > < / v a l u e > < / i t e m > < i t e m > < k e y > < s t r i n g > � r e a < / s t r i n g > < / k e y > < v a l u e > < i n t > 4 < / i n t > < / v a l u e > < / i t e m > < i t e m > < k e y > < s t r i n g > S u b - � r e a < / s t r i n g > < / k e y > < v a l u e > < i n t > 5 < / i n t > < / v a l u e > < / i t e m > < i t e m > < k e y > < s t r i n g > I n v o l u c r a d a s < / s t r i n g > < / k e y > < v a l u e > < i n t > 6 < / i n t > < / v a l u e > < / i t e m > < i t e m > < k e y > < s t r i n g > T a m a � o < / s t r i n g > < / k e y > < v a l u e > < i n t > 7 < / i n t > < / v a l u e > < / i t e m > < i t e m > < k e y > < s t r i n g > P u n t a j e < / s t r i n g > < / k e y > < v a l u e > < i n t > 8 < / i n t > < / v a l u e > < / i t e m > < i t e m > < k e y > < s t r i n g > E s f u e r z o < / s t r i n g > < / k e y > < v a l u e > < i n t > 9 < / i n t > < / v a l u e > < / i t e m > < i t e m > < k e y > < s t r i n g > L � d e r < / s t r i n g > < / k e y > < v a l u e > < i n t > 1 0 < / i n t > < / v a l u e > < / i t e m > < i t e m > < k e y > < s t r i n g > P . M a n a g e r < / s t r i n g > < / k e y > < v a l u e > < i n t > 1 1 < / i n t > < / v a l u e > < / i t e m > < i t e m > < k e y > < s t r i n g > E s t a d o   p r o y e c t o < / s t r i n g > < / k e y > < v a l u e > < i n t > 1 2 < / i n t > < / v a l u e > < / i t e m > < i t e m > < k e y > < s t r i n g > P r o v e e d o r   p r i n c i p a l < / s t r i n g > < / k e y > < v a l u e > < i n t > 1 3 < / i n t > < / v a l u e > < / i t e m > < i t e m > < k e y > < s t r i n g > S G 5 < / s t r i n g > < / k e y > < v a l u e > < i n t > 1 4 < / i n t > < / v a l u e > < / i t e m > < i t e m > < k e y > < s t r i n g > C R M < / s t r i n g > < / k e y > < v a l u e > < i n t > 1 5 < / i n t > < / v a l u e > < / i t e m > < i t e m > < k e y > < s t r i n g > E x a c t u s < / s t r i n g > < / k e y > < v a l u e > < i n t > 1 6 < / i n t > < / v a l u e > < / i t e m > < i t e m > < k e y > < s t r i n g > W e b < / s t r i n g > < / k e y > < v a l u e > < i n t > 1 7 < / i n t > < / v a l u e > < / i t e m > < i t e m > < k e y > < s t r i n g > O t r o s < / s t r i n g > < / k e y > < v a l u e > < i n t > 1 8 < / i n t > < / v a l u e > < / i t e m > < i t e m > < k e y > < s t r i n g > P r e s u p u e s t o   S / . < / s t r i n g > < / k e y > < v a l u e > < i n t > 1 9 < / i n t > < / v a l u e > < / i t e m > < i t e m > < k e y > < s t r i n g > A p r o b a d o   S / . < / s t r i n g > < / k e y > < v a l u e > < i n t > 2 0 < / i n t > < / v a l u e > < / i t e m > < i t e m > < k e y > < s t r i n g > %   A p r o b < / s t r i n g > < / k e y > < v a l u e > < i n t > 2 1 < / i n t > < / v a l u e > < / i t e m > < i t e m > < k e y > < s t r i n g > E j e c u t a d o   S / . < / s t r i n g > < / k e y > < v a l u e > < i n t > 2 2 < / i n t > < / v a l u e > < / i t e m > < i t e m > < k e y > < s t r i n g > %   E j e c < / s t r i n g > < / k e y > < v a l u e > < i n t > 2 3 < / i n t > < / v a l u e > < / i t e m > < i t e m > < k e y > < s t r i n g > E s t a d o   p r e s u p u e s t o < / s t r i n g > < / k e y > < v a l u e > < i n t > 2 4 < / i n t > < / v a l u e > < / i t e m > < i t e m > < k e y > < s t r i n g > F e c h a   a p r o b a c i � n < / s t r i n g > < / k e y > < v a l u e > < i n t > 2 5 < / i n t > < / v a l u e > < / i t e m > < i t e m > < k e y > < s t r i n g > m m . a a   f c h   a p r o b < / s t r i n g > < / k e y > < v a l u e > < i n t > 2 6 < / i n t > < / v a l u e > < / i t e m > < i t e m > < k e y > < s t r i n g > A � o   P r o y < / s t r i n g > < / k e y > < v a l u e > < i n t > 2 7 < / i n t > < / v a l u e > < / i t e m > < i t e m > < k e y > < s t r i n g > L � n e a   d e   n e g o c i o < / s t r i n g > < / k e y > < v a l u e > < i n t > 2 8 < / i n t > < / v a l u e > < / i t e m > < i t e m > < k e y > < s t r i n g > P a � s < / s t r i n g > < / k e y > < v a l u e > < i n t > 2 9 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O r d e r " > < C u s t o m C o n t e n t > < ! [ C D A T A [ T a b l a 2 , T a b l a 1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T a b l a 2 ] ] > < / C u s t o m C o n t e n t > < / G e m i n i > 
</file>

<file path=customXml/itemProps1.xml><?xml version="1.0" encoding="utf-8"?>
<ds:datastoreItem xmlns:ds="http://schemas.openxmlformats.org/officeDocument/2006/customXml" ds:itemID="{A3F3F319-87A6-427D-AED5-788A22AEEE97}">
  <ds:schemaRefs/>
</ds:datastoreItem>
</file>

<file path=customXml/itemProps10.xml><?xml version="1.0" encoding="utf-8"?>
<ds:datastoreItem xmlns:ds="http://schemas.openxmlformats.org/officeDocument/2006/customXml" ds:itemID="{F9DD015E-3D91-499E-87B3-4C974924BFD7}">
  <ds:schemaRefs/>
</ds:datastoreItem>
</file>

<file path=customXml/itemProps11.xml><?xml version="1.0" encoding="utf-8"?>
<ds:datastoreItem xmlns:ds="http://schemas.openxmlformats.org/officeDocument/2006/customXml" ds:itemID="{FFC27DA5-2986-4160-8FFC-C67DACB6C20E}">
  <ds:schemaRefs/>
</ds:datastoreItem>
</file>

<file path=customXml/itemProps12.xml><?xml version="1.0" encoding="utf-8"?>
<ds:datastoreItem xmlns:ds="http://schemas.openxmlformats.org/officeDocument/2006/customXml" ds:itemID="{A2C37031-B2D9-4BB4-A505-7568E82CF708}">
  <ds:schemaRefs/>
</ds:datastoreItem>
</file>

<file path=customXml/itemProps13.xml><?xml version="1.0" encoding="utf-8"?>
<ds:datastoreItem xmlns:ds="http://schemas.openxmlformats.org/officeDocument/2006/customXml" ds:itemID="{D47BE67D-E05A-4708-A6FA-ED601EFC773C}">
  <ds:schemaRefs/>
</ds:datastoreItem>
</file>

<file path=customXml/itemProps14.xml><?xml version="1.0" encoding="utf-8"?>
<ds:datastoreItem xmlns:ds="http://schemas.openxmlformats.org/officeDocument/2006/customXml" ds:itemID="{4EF06483-4A18-4E77-8626-2F3CE976C022}">
  <ds:schemaRefs/>
</ds:datastoreItem>
</file>

<file path=customXml/itemProps15.xml><?xml version="1.0" encoding="utf-8"?>
<ds:datastoreItem xmlns:ds="http://schemas.openxmlformats.org/officeDocument/2006/customXml" ds:itemID="{5134161F-4F21-491F-AB70-39DC0DDAE6B2}">
  <ds:schemaRefs>
    <ds:schemaRef ds:uri="http://schemas.microsoft.com/DataMashup"/>
  </ds:schemaRefs>
</ds:datastoreItem>
</file>

<file path=customXml/itemProps16.xml><?xml version="1.0" encoding="utf-8"?>
<ds:datastoreItem xmlns:ds="http://schemas.openxmlformats.org/officeDocument/2006/customXml" ds:itemID="{DF73F684-D80E-4A2E-ACDA-A64868D7B7F2}">
  <ds:schemaRefs/>
</ds:datastoreItem>
</file>

<file path=customXml/itemProps17.xml><?xml version="1.0" encoding="utf-8"?>
<ds:datastoreItem xmlns:ds="http://schemas.openxmlformats.org/officeDocument/2006/customXml" ds:itemID="{8181FE47-C08C-4D69-8874-ADB3AE2F77C0}">
  <ds:schemaRefs/>
</ds:datastoreItem>
</file>

<file path=customXml/itemProps18.xml><?xml version="1.0" encoding="utf-8"?>
<ds:datastoreItem xmlns:ds="http://schemas.openxmlformats.org/officeDocument/2006/customXml" ds:itemID="{5A5BA411-102B-44A5-AC7D-6AE7694C2AFF}">
  <ds:schemaRefs/>
</ds:datastoreItem>
</file>

<file path=customXml/itemProps2.xml><?xml version="1.0" encoding="utf-8"?>
<ds:datastoreItem xmlns:ds="http://schemas.openxmlformats.org/officeDocument/2006/customXml" ds:itemID="{BAF65544-C1FE-40EC-AFD4-6A33B68AE779}">
  <ds:schemaRefs/>
</ds:datastoreItem>
</file>

<file path=customXml/itemProps3.xml><?xml version="1.0" encoding="utf-8"?>
<ds:datastoreItem xmlns:ds="http://schemas.openxmlformats.org/officeDocument/2006/customXml" ds:itemID="{C1550647-D2CA-4174-BE9D-ABB7535C5CE2}">
  <ds:schemaRefs/>
</ds:datastoreItem>
</file>

<file path=customXml/itemProps4.xml><?xml version="1.0" encoding="utf-8"?>
<ds:datastoreItem xmlns:ds="http://schemas.openxmlformats.org/officeDocument/2006/customXml" ds:itemID="{8564D4F3-0987-44C0-9F58-BC498175FFFA}">
  <ds:schemaRefs/>
</ds:datastoreItem>
</file>

<file path=customXml/itemProps5.xml><?xml version="1.0" encoding="utf-8"?>
<ds:datastoreItem xmlns:ds="http://schemas.openxmlformats.org/officeDocument/2006/customXml" ds:itemID="{DB9EF0F9-4B19-4FB4-A29C-ADCFA78C38E4}">
  <ds:schemaRefs/>
</ds:datastoreItem>
</file>

<file path=customXml/itemProps6.xml><?xml version="1.0" encoding="utf-8"?>
<ds:datastoreItem xmlns:ds="http://schemas.openxmlformats.org/officeDocument/2006/customXml" ds:itemID="{835B6B95-EBBB-4E1B-A8D8-4FB84105229D}">
  <ds:schemaRefs/>
</ds:datastoreItem>
</file>

<file path=customXml/itemProps7.xml><?xml version="1.0" encoding="utf-8"?>
<ds:datastoreItem xmlns:ds="http://schemas.openxmlformats.org/officeDocument/2006/customXml" ds:itemID="{9EBCAA00-9312-420E-8ED4-A3883183B64F}">
  <ds:schemaRefs/>
</ds:datastoreItem>
</file>

<file path=customXml/itemProps8.xml><?xml version="1.0" encoding="utf-8"?>
<ds:datastoreItem xmlns:ds="http://schemas.openxmlformats.org/officeDocument/2006/customXml" ds:itemID="{2D0B1D31-7A6E-4C25-92D4-D964B67A75A8}">
  <ds:schemaRefs/>
</ds:datastoreItem>
</file>

<file path=customXml/itemProps9.xml><?xml version="1.0" encoding="utf-8"?>
<ds:datastoreItem xmlns:ds="http://schemas.openxmlformats.org/officeDocument/2006/customXml" ds:itemID="{D5D1A402-FC00-41A9-BE08-29DCB00B20F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</vt:i4>
      </vt:variant>
    </vt:vector>
  </HeadingPairs>
  <TitlesOfParts>
    <vt:vector size="17" baseType="lpstr">
      <vt:lpstr>Proyectos</vt:lpstr>
      <vt:lpstr>Facturas</vt:lpstr>
      <vt:lpstr>Tablas</vt:lpstr>
      <vt:lpstr>DASHBOARD</vt:lpstr>
      <vt:lpstr>OS</vt:lpstr>
      <vt:lpstr>Para logist</vt:lpstr>
      <vt:lpstr>TD</vt:lpstr>
      <vt:lpstr>Para Contab</vt:lpstr>
      <vt:lpstr>Resumen</vt:lpstr>
      <vt:lpstr>Evaluación</vt:lpstr>
      <vt:lpstr>Cronograma</vt:lpstr>
      <vt:lpstr>Proyectos 2022</vt:lpstr>
      <vt:lpstr>Consolidado</vt:lpstr>
      <vt:lpstr>Reorganización</vt:lpstr>
      <vt:lpstr>Listado</vt:lpstr>
      <vt:lpstr>Hoja1</vt:lpstr>
      <vt:lpstr>Facturas!Área_de_impresión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Rojas Crisostomo</dc:creator>
  <cp:lastModifiedBy>alaniz arce</cp:lastModifiedBy>
  <cp:lastPrinted>2022-10-19T21:45:50Z</cp:lastPrinted>
  <dcterms:created xsi:type="dcterms:W3CDTF">2022-07-26T01:24:44Z</dcterms:created>
  <dcterms:modified xsi:type="dcterms:W3CDTF">2024-08-01T20:54:18Z</dcterms:modified>
</cp:coreProperties>
</file>