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penaherrera\Desktop\"/>
    </mc:Choice>
  </mc:AlternateContent>
  <xr:revisionPtr revIDLastSave="0" documentId="13_ncr:1_{5D14E726-981A-4EC7-B66F-C22379C092DD}" xr6:coauthVersionLast="47" xr6:coauthVersionMax="47" xr10:uidLastSave="{00000000-0000-0000-0000-000000000000}"/>
  <bookViews>
    <workbookView xWindow="-120" yWindow="-120" windowWidth="20730" windowHeight="11160" tabRatio="859" firstSheet="9" activeTab="9" xr2:uid="{95B34EAA-BFC5-4B26-8F97-2CEBD168840E}"/>
  </bookViews>
  <sheets>
    <sheet name="Resumen Proy22" sheetId="24" r:id="rId1"/>
    <sheet name="Proyectos 2022" sheetId="16" r:id="rId2"/>
    <sheet name="Gastos 2022" sheetId="14" r:id="rId3"/>
    <sheet name="2023" sheetId="26" r:id="rId4"/>
    <sheet name="S" sheetId="22" r:id="rId5"/>
    <sheet name="F" sheetId="27" r:id="rId6"/>
    <sheet name="O" sheetId="25" r:id="rId7"/>
    <sheet name="@" sheetId="29" r:id="rId8"/>
    <sheet name="Calendario" sheetId="30" r:id="rId9"/>
    <sheet name="Cronograma" sheetId="32" r:id="rId10"/>
    <sheet name="2021" sheetId="33" r:id="rId11"/>
  </sheets>
  <externalReferences>
    <externalReference r:id="rId12"/>
  </externalReferences>
  <definedNames>
    <definedName name="_xlnm._FilterDatabase" localSheetId="3" hidden="1">'2023'!$A$2:$AG$32</definedName>
    <definedName name="_xlnm._FilterDatabase" localSheetId="8" hidden="1">Calendario!$A$3:$AZ$24</definedName>
    <definedName name="_xlnm._FilterDatabase" localSheetId="9" hidden="1">Cronograma!$A$3:$BO$42</definedName>
    <definedName name="_xlnm._FilterDatabase" localSheetId="2" hidden="1">'Gastos 2022'!$A$9:$AB$58</definedName>
    <definedName name="_xlnm._FilterDatabase" localSheetId="1" hidden="1">'Proyectos 2022'!$A$2:$AH$48</definedName>
    <definedName name="_xlnm._FilterDatabase" localSheetId="0" hidden="1">'Resumen Proy22'!$A$37:$A$39</definedName>
    <definedName name="Forma_de_pago">[1]Data!$B$6:$J$13</definedName>
    <definedName name="GASTOS">#REF!</definedName>
  </definedNames>
  <calcPr calcId="191029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K3" i="32" l="1"/>
  <c r="BL3" i="32" s="1"/>
  <c r="BM3" i="32" s="1"/>
  <c r="BG3" i="32"/>
  <c r="BH3" i="32" s="1"/>
  <c r="BI3" i="32" s="1"/>
  <c r="BC3" i="32"/>
  <c r="BD3" i="32" s="1"/>
  <c r="BE3" i="32" s="1"/>
  <c r="AY3" i="32"/>
  <c r="AZ3" i="32" s="1"/>
  <c r="BA3" i="32" s="1"/>
  <c r="AU3" i="32"/>
  <c r="AV3" i="32" s="1"/>
  <c r="AW3" i="32" s="1"/>
  <c r="AQ3" i="32"/>
  <c r="AR3" i="32" s="1"/>
  <c r="AS3" i="32" s="1"/>
  <c r="AM3" i="32"/>
  <c r="AN3" i="32" s="1"/>
  <c r="AO3" i="32" s="1"/>
  <c r="AI3" i="32"/>
  <c r="AJ3" i="32" s="1"/>
  <c r="AK3" i="32" s="1"/>
  <c r="AE3" i="32"/>
  <c r="AF3" i="32" s="1"/>
  <c r="AG3" i="32" s="1"/>
  <c r="AA3" i="32"/>
  <c r="AB3" i="32" s="1"/>
  <c r="AC3" i="32" s="1"/>
  <c r="W3" i="32"/>
  <c r="X3" i="32" s="1"/>
  <c r="Y3" i="32" s="1"/>
  <c r="S3" i="32"/>
  <c r="T3" i="32" s="1"/>
  <c r="U3" i="32" s="1"/>
  <c r="E3" i="30"/>
  <c r="F3" i="30"/>
  <c r="G3" i="30" s="1"/>
  <c r="I3" i="30"/>
  <c r="J3" i="30" s="1"/>
  <c r="K3" i="30" s="1"/>
  <c r="M3" i="30"/>
  <c r="N3" i="30" s="1"/>
  <c r="O3" i="30" s="1"/>
  <c r="Q3" i="30"/>
  <c r="R3" i="30" s="1"/>
  <c r="S3" i="30" s="1"/>
  <c r="U3" i="30"/>
  <c r="V3" i="30" s="1"/>
  <c r="W3" i="30" s="1"/>
  <c r="Y3" i="30"/>
  <c r="Z3" i="30"/>
  <c r="AA3" i="30" s="1"/>
  <c r="AC3" i="30"/>
  <c r="AD3" i="30" s="1"/>
  <c r="AE3" i="30" s="1"/>
  <c r="AG3" i="30"/>
  <c r="AH3" i="30"/>
  <c r="AI3" i="30" s="1"/>
  <c r="AK3" i="30"/>
  <c r="AL3" i="30"/>
  <c r="AM3" i="30" s="1"/>
  <c r="AO3" i="30"/>
  <c r="AP3" i="30"/>
  <c r="AQ3" i="30" s="1"/>
  <c r="AS3" i="30"/>
  <c r="AT3" i="30" s="1"/>
  <c r="AU3" i="30" s="1"/>
  <c r="AW3" i="30"/>
  <c r="AX3" i="30" s="1"/>
  <c r="AY3" i="30" s="1"/>
  <c r="AE47" i="16"/>
  <c r="AD47" i="16"/>
  <c r="AA47" i="16"/>
  <c r="Y47" i="16"/>
  <c r="X47" i="16"/>
  <c r="V47" i="16"/>
  <c r="U47" i="16"/>
  <c r="AE46" i="16"/>
  <c r="AD46" i="16"/>
  <c r="AC46" i="16"/>
  <c r="AB46" i="16"/>
  <c r="AA46" i="16"/>
  <c r="Z46" i="16"/>
  <c r="Y46" i="16"/>
  <c r="X46" i="16"/>
  <c r="V46" i="16"/>
  <c r="U46" i="16"/>
  <c r="T46" i="16"/>
  <c r="AC37" i="16"/>
  <c r="Z37" i="16"/>
  <c r="W37" i="16"/>
  <c r="AF39" i="16"/>
  <c r="AG39" i="16" s="1"/>
  <c r="AF38" i="16"/>
  <c r="AG38" i="16" s="1"/>
  <c r="V37" i="16"/>
  <c r="T37" i="16"/>
  <c r="AF36" i="16"/>
  <c r="AG36" i="16" s="1"/>
  <c r="T35" i="16"/>
  <c r="T47" i="16" s="1"/>
  <c r="AF35" i="16"/>
  <c r="AG35" i="16" s="1"/>
  <c r="AC34" i="16"/>
  <c r="AC47" i="16" s="1"/>
  <c r="Z34" i="16"/>
  <c r="W34" i="16"/>
  <c r="AB33" i="16"/>
  <c r="AF33" i="16" s="1"/>
  <c r="AG33" i="16" s="1"/>
  <c r="M82" i="22"/>
  <c r="J78" i="22"/>
  <c r="K78" i="22" s="1"/>
  <c r="M78" i="22" s="1"/>
  <c r="M77" i="22"/>
  <c r="M79" i="22" s="1"/>
  <c r="K77" i="22"/>
  <c r="J77" i="22"/>
  <c r="K73" i="22"/>
  <c r="L73" i="22" s="1"/>
  <c r="W31" i="16"/>
  <c r="W46" i="16" s="1"/>
  <c r="AC41" i="14"/>
  <c r="J33" i="14"/>
  <c r="J51" i="14"/>
  <c r="J46" i="14"/>
  <c r="C4" i="14" s="1"/>
  <c r="C67" i="14"/>
  <c r="J45" i="14"/>
  <c r="J44" i="14"/>
  <c r="J43" i="14"/>
  <c r="J40" i="14"/>
  <c r="J35" i="14"/>
  <c r="J31" i="14"/>
  <c r="J30" i="14" s="1"/>
  <c r="J28" i="14"/>
  <c r="J27" i="14"/>
  <c r="J24" i="14"/>
  <c r="J23" i="14" s="1"/>
  <c r="J21" i="14"/>
  <c r="J20" i="14" s="1"/>
  <c r="J11" i="14"/>
  <c r="J10" i="14"/>
  <c r="Z47" i="16" l="1"/>
  <c r="AF37" i="16"/>
  <c r="AG37" i="16" s="1"/>
  <c r="M73" i="22"/>
  <c r="M81" i="22" s="1"/>
  <c r="M83" i="22" s="1"/>
  <c r="W47" i="16"/>
  <c r="AF46" i="16"/>
  <c r="AG46" i="16" s="1"/>
  <c r="AF34" i="16"/>
  <c r="AG34" i="16" s="1"/>
  <c r="AB47" i="16"/>
  <c r="J26" i="14"/>
  <c r="J42" i="14"/>
  <c r="AF47" i="16" l="1"/>
  <c r="AG47" i="16" s="1"/>
  <c r="AG48" i="16"/>
  <c r="AE16" i="26"/>
  <c r="AF16" i="26" s="1"/>
  <c r="E30" i="29" l="1"/>
  <c r="F30" i="29" s="1"/>
  <c r="G30" i="29" s="1"/>
  <c r="B33" i="29"/>
  <c r="N2" i="29"/>
  <c r="O2" i="29" s="1"/>
  <c r="AE14" i="26"/>
  <c r="AF14" i="26" s="1"/>
  <c r="Y10" i="14"/>
  <c r="AC10" i="14" s="1"/>
  <c r="AA30" i="14"/>
  <c r="AA26" i="14"/>
  <c r="AA23" i="14"/>
  <c r="AA20" i="14"/>
  <c r="Z10" i="14"/>
  <c r="W37" i="14"/>
  <c r="AA37" i="14" s="1"/>
  <c r="AA34" i="14" s="1"/>
  <c r="W29" i="14"/>
  <c r="Z29" i="14" s="1"/>
  <c r="Z26" i="14" s="1"/>
  <c r="S39" i="14"/>
  <c r="N39" i="14"/>
  <c r="O39" i="14" s="1"/>
  <c r="K41" i="14"/>
  <c r="M37" i="27"/>
  <c r="D66" i="22"/>
  <c r="O10" i="14"/>
  <c r="L41" i="14"/>
  <c r="M41" i="14" s="1"/>
  <c r="N41" i="14" s="1"/>
  <c r="O41" i="14" s="1"/>
  <c r="P41" i="14" s="1"/>
  <c r="Q41" i="14" s="1"/>
  <c r="R41" i="14" s="1"/>
  <c r="S41" i="14" s="1"/>
  <c r="T41" i="14" s="1"/>
  <c r="U41" i="14" s="1"/>
  <c r="V41" i="14" s="1"/>
  <c r="AF20" i="16"/>
  <c r="AG20" i="16" s="1"/>
  <c r="T10" i="14"/>
  <c r="O22" i="14"/>
  <c r="W22" i="14" s="1"/>
  <c r="Z22" i="14" s="1"/>
  <c r="Z20" i="14" s="1"/>
  <c r="S47" i="14"/>
  <c r="T47" i="14" s="1"/>
  <c r="U47" i="14" s="1"/>
  <c r="V47" i="14" s="1"/>
  <c r="T46" i="14"/>
  <c r="U46" i="14" s="1"/>
  <c r="V46" i="14" s="1"/>
  <c r="L47" i="14"/>
  <c r="M47" i="14" s="1"/>
  <c r="N47" i="14" s="1"/>
  <c r="O47" i="14" s="1"/>
  <c r="P47" i="14" s="1"/>
  <c r="Q47" i="14" s="1"/>
  <c r="R47" i="14" s="1"/>
  <c r="W10" i="14" l="1"/>
  <c r="W47" i="14"/>
  <c r="Y47" i="14" s="1"/>
  <c r="R50" i="14"/>
  <c r="T49" i="14"/>
  <c r="U49" i="14" s="1"/>
  <c r="V49" i="14" s="1"/>
  <c r="O49" i="14"/>
  <c r="P49" i="14" s="1"/>
  <c r="Q49" i="14" s="1"/>
  <c r="R49" i="14" s="1"/>
  <c r="L49" i="14"/>
  <c r="N48" i="14"/>
  <c r="B34" i="22"/>
  <c r="C34" i="22"/>
  <c r="C22" i="22"/>
  <c r="D34" i="22"/>
  <c r="C23" i="22"/>
  <c r="M52" i="14"/>
  <c r="N52" i="14" s="1"/>
  <c r="O52" i="14" s="1"/>
  <c r="T52" i="14" s="1"/>
  <c r="R25" i="14"/>
  <c r="N25" i="14"/>
  <c r="K24" i="14"/>
  <c r="N51" i="14"/>
  <c r="O51" i="14" s="1"/>
  <c r="P51" i="14" s="1"/>
  <c r="Q51" i="14" s="1"/>
  <c r="R51" i="14" s="1"/>
  <c r="S51" i="14" s="1"/>
  <c r="T51" i="14" s="1"/>
  <c r="U51" i="14" s="1"/>
  <c r="V51" i="14" s="1"/>
  <c r="AF31" i="16"/>
  <c r="AG31" i="16" s="1"/>
  <c r="AF30" i="16"/>
  <c r="AG30" i="16" s="1"/>
  <c r="AF32" i="16"/>
  <c r="AG32" i="16" s="1"/>
  <c r="AF40" i="16"/>
  <c r="AG40" i="16" s="1"/>
  <c r="AF29" i="16"/>
  <c r="AG29" i="16" s="1"/>
  <c r="S50" i="14" l="1"/>
  <c r="T50" i="14" s="1"/>
  <c r="U50" i="14" s="1"/>
  <c r="V50" i="14" s="1"/>
  <c r="M49" i="14"/>
  <c r="W49" i="14" s="1"/>
  <c r="Z49" i="14" s="1"/>
  <c r="K23" i="14"/>
  <c r="Q52" i="14"/>
  <c r="R52" i="14" s="1"/>
  <c r="S52" i="14" s="1"/>
  <c r="U52" i="14" s="1"/>
  <c r="L24" i="14"/>
  <c r="L25" i="14"/>
  <c r="W51" i="14"/>
  <c r="Z51" i="14" s="1"/>
  <c r="AE5" i="26"/>
  <c r="AF5" i="26" s="1"/>
  <c r="AE6" i="26"/>
  <c r="AF6" i="26" s="1"/>
  <c r="AE7" i="26"/>
  <c r="AF7" i="26" s="1"/>
  <c r="AE8" i="26"/>
  <c r="AF8" i="26" s="1"/>
  <c r="AE9" i="26"/>
  <c r="AF9" i="26" s="1"/>
  <c r="AE10" i="26"/>
  <c r="AF10" i="26" s="1"/>
  <c r="AE11" i="26"/>
  <c r="AF11" i="26" s="1"/>
  <c r="AE12" i="26"/>
  <c r="AF12" i="26" s="1"/>
  <c r="AE13" i="26"/>
  <c r="AF13" i="26" s="1"/>
  <c r="AE17" i="26"/>
  <c r="AF17" i="26" s="1"/>
  <c r="AE18" i="26"/>
  <c r="AF18" i="26" s="1"/>
  <c r="AE19" i="26"/>
  <c r="AF19" i="26" s="1"/>
  <c r="AE20" i="26"/>
  <c r="AF20" i="26"/>
  <c r="AE21" i="26"/>
  <c r="AF21" i="26"/>
  <c r="AE22" i="26"/>
  <c r="AF22" i="26" s="1"/>
  <c r="AE23" i="26"/>
  <c r="AF23" i="26" s="1"/>
  <c r="AE24" i="26"/>
  <c r="AF24" i="26" s="1"/>
  <c r="AE25" i="26"/>
  <c r="AF25" i="26" s="1"/>
  <c r="AE26" i="26"/>
  <c r="AF26" i="26"/>
  <c r="AE4" i="26"/>
  <c r="AF4" i="26" s="1"/>
  <c r="AF3" i="26"/>
  <c r="AE3" i="26"/>
  <c r="AA42" i="14" l="1"/>
  <c r="AA53" i="14" s="1"/>
  <c r="D5" i="14" s="1"/>
  <c r="W50" i="14"/>
  <c r="Z50" i="14" s="1"/>
  <c r="W52" i="14"/>
  <c r="Z52" i="14" s="1"/>
  <c r="M24" i="14"/>
  <c r="L23" i="14"/>
  <c r="M25" i="14"/>
  <c r="O25" i="14" s="1"/>
  <c r="P25" i="14" s="1"/>
  <c r="Q25" i="14" s="1"/>
  <c r="S25" i="14" s="1"/>
  <c r="T25" i="14" s="1"/>
  <c r="U25" i="14" s="1"/>
  <c r="V25" i="14" s="1"/>
  <c r="AE3" i="25"/>
  <c r="AF3" i="25" s="1"/>
  <c r="AF13" i="16"/>
  <c r="AG13" i="16" s="1"/>
  <c r="AF17" i="16"/>
  <c r="AG17" i="16" s="1"/>
  <c r="W25" i="14" l="1"/>
  <c r="Z25" i="14" s="1"/>
  <c r="Z23" i="14" s="1"/>
  <c r="N24" i="14"/>
  <c r="M23" i="14"/>
  <c r="AF28" i="16"/>
  <c r="AG28" i="16" s="1"/>
  <c r="S48" i="14"/>
  <c r="T48" i="14" s="1"/>
  <c r="U48" i="14" s="1"/>
  <c r="V48" i="14" s="1"/>
  <c r="L48" i="14"/>
  <c r="K45" i="14"/>
  <c r="K44" i="14"/>
  <c r="K43" i="14"/>
  <c r="L45" i="14" l="1"/>
  <c r="M45" i="14" s="1"/>
  <c r="N45" i="14" s="1"/>
  <c r="O45" i="14" s="1"/>
  <c r="P45" i="14" s="1"/>
  <c r="Q45" i="14" s="1"/>
  <c r="R45" i="14" s="1"/>
  <c r="S45" i="14" s="1"/>
  <c r="T45" i="14" s="1"/>
  <c r="T42" i="14" s="1"/>
  <c r="M48" i="14"/>
  <c r="K42" i="14"/>
  <c r="O24" i="14"/>
  <c r="N23" i="14"/>
  <c r="O48" i="14"/>
  <c r="P48" i="14" s="1"/>
  <c r="Q48" i="14" s="1"/>
  <c r="R48" i="14" s="1"/>
  <c r="L43" i="14"/>
  <c r="L44" i="14"/>
  <c r="M44" i="14" s="1"/>
  <c r="N44" i="14" s="1"/>
  <c r="O44" i="14" s="1"/>
  <c r="P44" i="14" s="1"/>
  <c r="Q44" i="14" s="1"/>
  <c r="R44" i="14" s="1"/>
  <c r="L46" i="14"/>
  <c r="M46" i="14" l="1"/>
  <c r="N46" i="14" s="1"/>
  <c r="O46" i="14" s="1"/>
  <c r="P46" i="14" s="1"/>
  <c r="Q46" i="14" s="1"/>
  <c r="R46" i="14" s="1"/>
  <c r="W44" i="14"/>
  <c r="Y44" i="14" s="1"/>
  <c r="W48" i="14"/>
  <c r="Z48" i="14" s="1"/>
  <c r="Z42" i="14" s="1"/>
  <c r="L42" i="14"/>
  <c r="P24" i="14"/>
  <c r="O23" i="14"/>
  <c r="M43" i="14"/>
  <c r="U45" i="14"/>
  <c r="U42" i="14" s="1"/>
  <c r="AF27" i="16"/>
  <c r="AG27" i="16" s="1"/>
  <c r="M42" i="14" l="1"/>
  <c r="W46" i="14"/>
  <c r="Y46" i="14" s="1"/>
  <c r="Q24" i="14"/>
  <c r="P23" i="14"/>
  <c r="V45" i="14"/>
  <c r="V42" i="14" s="1"/>
  <c r="N43" i="14"/>
  <c r="N42" i="14" s="1"/>
  <c r="L38" i="14"/>
  <c r="H36" i="14"/>
  <c r="V20" i="14"/>
  <c r="U20" i="14"/>
  <c r="S20" i="14"/>
  <c r="R20" i="14"/>
  <c r="P20" i="14"/>
  <c r="O20" i="14"/>
  <c r="N20" i="14"/>
  <c r="M20" i="14"/>
  <c r="L20" i="14"/>
  <c r="N17" i="22"/>
  <c r="K20" i="14"/>
  <c r="D3" i="22"/>
  <c r="K36" i="14" l="1"/>
  <c r="L36" i="14" s="1"/>
  <c r="M36" i="14" s="1"/>
  <c r="N36" i="14" s="1"/>
  <c r="O36" i="14" s="1"/>
  <c r="P36" i="14" s="1"/>
  <c r="Q36" i="14" s="1"/>
  <c r="R36" i="14" s="1"/>
  <c r="S36" i="14" s="1"/>
  <c r="T36" i="14" s="1"/>
  <c r="U36" i="14" s="1"/>
  <c r="V36" i="14" s="1"/>
  <c r="J36" i="14"/>
  <c r="J34" i="14" s="1"/>
  <c r="M38" i="14"/>
  <c r="P38" i="14" s="1"/>
  <c r="Q38" i="14" s="1"/>
  <c r="T38" i="14" s="1"/>
  <c r="U38" i="14" s="1"/>
  <c r="V38" i="14" s="1"/>
  <c r="W45" i="14"/>
  <c r="Y45" i="14" s="1"/>
  <c r="R24" i="14"/>
  <c r="Q23" i="14"/>
  <c r="O43" i="14"/>
  <c r="O42" i="14" s="1"/>
  <c r="Q32" i="14"/>
  <c r="R28" i="14"/>
  <c r="O28" i="14"/>
  <c r="AF26" i="16"/>
  <c r="AG26" i="16" s="1"/>
  <c r="J53" i="14" l="1"/>
  <c r="U28" i="14"/>
  <c r="W28" i="14" s="1"/>
  <c r="Y28" i="14" s="1"/>
  <c r="W38" i="14"/>
  <c r="Z38" i="14" s="1"/>
  <c r="T32" i="14"/>
  <c r="U32" i="14" s="1"/>
  <c r="V32" i="14" s="1"/>
  <c r="W36" i="14"/>
  <c r="Y36" i="14" s="1"/>
  <c r="S24" i="14"/>
  <c r="R23" i="14"/>
  <c r="AF8" i="16"/>
  <c r="AG8" i="16" s="1"/>
  <c r="P43" i="14"/>
  <c r="P42" i="14" s="1"/>
  <c r="W41" i="14"/>
  <c r="Z41" i="14" s="1"/>
  <c r="C3" i="14" l="1"/>
  <c r="C6" i="14" s="1"/>
  <c r="E5" i="14" s="1"/>
  <c r="W32" i="14"/>
  <c r="Z32" i="14" s="1"/>
  <c r="Z30" i="14" s="1"/>
  <c r="T24" i="14"/>
  <c r="S23" i="14"/>
  <c r="Q43" i="14"/>
  <c r="Q42" i="14" s="1"/>
  <c r="U24" i="14" l="1"/>
  <c r="T23" i="14"/>
  <c r="R43" i="14"/>
  <c r="R42" i="14" s="1"/>
  <c r="AF25" i="16"/>
  <c r="AG25" i="16" s="1"/>
  <c r="AF23" i="16"/>
  <c r="AG23" i="16" s="1"/>
  <c r="AF22" i="16"/>
  <c r="AG22" i="16" s="1"/>
  <c r="AF21" i="16"/>
  <c r="AG21" i="16" s="1"/>
  <c r="AF19" i="16"/>
  <c r="AG19" i="16" s="1"/>
  <c r="AF18" i="16"/>
  <c r="AG18" i="16" s="1"/>
  <c r="AF16" i="16"/>
  <c r="AG16" i="16" s="1"/>
  <c r="AF15" i="16"/>
  <c r="AG15" i="16" s="1"/>
  <c r="AF14" i="16"/>
  <c r="AG14" i="16" s="1"/>
  <c r="AF11" i="16"/>
  <c r="AG11" i="16" s="1"/>
  <c r="AF9" i="16"/>
  <c r="AG9" i="16" s="1"/>
  <c r="AF6" i="16"/>
  <c r="AG6" i="16" s="1"/>
  <c r="AF12" i="16"/>
  <c r="AG12" i="16" s="1"/>
  <c r="AF4" i="16"/>
  <c r="AG4" i="16" s="1"/>
  <c r="AF3" i="16"/>
  <c r="AG3" i="16" s="1"/>
  <c r="V24" i="14" l="1"/>
  <c r="U23" i="14"/>
  <c r="S43" i="14"/>
  <c r="AF7" i="16"/>
  <c r="AG7" i="16" s="1"/>
  <c r="AF24" i="16"/>
  <c r="AG24" i="16" s="1"/>
  <c r="AF5" i="16"/>
  <c r="AG5" i="16" s="1"/>
  <c r="AF10" i="16"/>
  <c r="AG10" i="16" s="1"/>
  <c r="AG41" i="16" l="1"/>
  <c r="S42" i="14"/>
  <c r="W42" i="14" s="1"/>
  <c r="W43" i="14"/>
  <c r="Y43" i="14" s="1"/>
  <c r="Y42" i="14" s="1"/>
  <c r="AC42" i="14" s="1"/>
  <c r="V23" i="14"/>
  <c r="W24" i="14"/>
  <c r="Y24" i="14" s="1"/>
  <c r="Y23" i="14" s="1"/>
  <c r="AC23" i="14" s="1"/>
  <c r="Q40" i="14"/>
  <c r="R40" i="14" l="1"/>
  <c r="W40" i="14" l="1"/>
  <c r="Y40" i="14" s="1"/>
  <c r="AC40" i="14" s="1"/>
  <c r="K35" i="14" l="1"/>
  <c r="K33" i="14"/>
  <c r="K31" i="14"/>
  <c r="K27" i="14"/>
  <c r="K30" i="14" l="1"/>
  <c r="K26" i="14"/>
  <c r="K34" i="14"/>
  <c r="L35" i="14"/>
  <c r="L39" i="14"/>
  <c r="M27" i="14"/>
  <c r="M26" i="14" s="1"/>
  <c r="W23" i="14"/>
  <c r="L33" i="14"/>
  <c r="M33" i="14" s="1"/>
  <c r="N33" i="14" s="1"/>
  <c r="O33" i="14" s="1"/>
  <c r="P33" i="14" s="1"/>
  <c r="Q33" i="14" s="1"/>
  <c r="R33" i="14" s="1"/>
  <c r="S33" i="14" s="1"/>
  <c r="T33" i="14" s="1"/>
  <c r="U33" i="14" s="1"/>
  <c r="V33" i="14" s="1"/>
  <c r="L27" i="14"/>
  <c r="L26" i="14" s="1"/>
  <c r="L31" i="14"/>
  <c r="M35" i="14" l="1"/>
  <c r="N35" i="14" s="1"/>
  <c r="L34" i="14"/>
  <c r="M39" i="14"/>
  <c r="M31" i="14"/>
  <c r="L30" i="14"/>
  <c r="O27" i="14"/>
  <c r="O26" i="14" s="1"/>
  <c r="N27" i="14"/>
  <c r="N26" i="14" s="1"/>
  <c r="W33" i="14"/>
  <c r="Y33" i="14" s="1"/>
  <c r="AC33" i="14" s="1"/>
  <c r="Q20" i="14"/>
  <c r="T21" i="14"/>
  <c r="N14" i="14"/>
  <c r="W14" i="14" s="1"/>
  <c r="N12" i="14"/>
  <c r="W12" i="14" s="1"/>
  <c r="V15" i="14"/>
  <c r="V11" i="14" s="1"/>
  <c r="U15" i="14"/>
  <c r="U11" i="14" s="1"/>
  <c r="T15" i="14"/>
  <c r="T11" i="14" s="1"/>
  <c r="S15" i="14"/>
  <c r="R15" i="14"/>
  <c r="R11" i="14" s="1"/>
  <c r="Q15" i="14"/>
  <c r="Q11" i="14" s="1"/>
  <c r="P15" i="14"/>
  <c r="P11" i="14" s="1"/>
  <c r="O15" i="14"/>
  <c r="O11" i="14" s="1"/>
  <c r="N15" i="14"/>
  <c r="M15" i="14"/>
  <c r="M11" i="14" s="1"/>
  <c r="L15" i="14"/>
  <c r="L11" i="14" s="1"/>
  <c r="K15" i="14"/>
  <c r="S19" i="14"/>
  <c r="W19" i="14" s="1"/>
  <c r="S18" i="14"/>
  <c r="W18" i="14" s="1"/>
  <c r="S17" i="14"/>
  <c r="W17" i="14" s="1"/>
  <c r="S16" i="14"/>
  <c r="W16" i="14" s="1"/>
  <c r="G13" i="14"/>
  <c r="N13" i="14" s="1"/>
  <c r="W13" i="14" s="1"/>
  <c r="K11" i="14" l="1"/>
  <c r="W15" i="14"/>
  <c r="T20" i="14"/>
  <c r="W20" i="14" s="1"/>
  <c r="W21" i="14"/>
  <c r="Y21" i="14" s="1"/>
  <c r="Y20" i="14" s="1"/>
  <c r="AC20" i="14" s="1"/>
  <c r="M34" i="14"/>
  <c r="O35" i="14"/>
  <c r="O34" i="14" s="1"/>
  <c r="S11" i="14"/>
  <c r="N34" i="14"/>
  <c r="N31" i="14"/>
  <c r="M30" i="14"/>
  <c r="N11" i="14"/>
  <c r="Q27" i="14"/>
  <c r="Q26" i="14" s="1"/>
  <c r="P27" i="14"/>
  <c r="P26" i="14" s="1"/>
  <c r="W11" i="14" l="1"/>
  <c r="P35" i="14"/>
  <c r="O31" i="14"/>
  <c r="N30" i="14"/>
  <c r="R27" i="14"/>
  <c r="R26" i="14" s="1"/>
  <c r="S27" i="14"/>
  <c r="S26" i="14" s="1"/>
  <c r="Y11" i="14" l="1"/>
  <c r="AC11" i="14" s="1"/>
  <c r="Q35" i="14"/>
  <c r="P39" i="14"/>
  <c r="P31" i="14"/>
  <c r="O30" i="14"/>
  <c r="U27" i="14"/>
  <c r="U26" i="14" s="1"/>
  <c r="T27" i="14"/>
  <c r="T26" i="14" s="1"/>
  <c r="P34" i="14" l="1"/>
  <c r="R35" i="14"/>
  <c r="Q39" i="14"/>
  <c r="Q34" i="14" s="1"/>
  <c r="Q31" i="14"/>
  <c r="P30" i="14"/>
  <c r="V27" i="14"/>
  <c r="V26" i="14" l="1"/>
  <c r="W26" i="14" s="1"/>
  <c r="W27" i="14"/>
  <c r="Y27" i="14" s="1"/>
  <c r="Y26" i="14" s="1"/>
  <c r="AC26" i="14" s="1"/>
  <c r="R39" i="14"/>
  <c r="R34" i="14" s="1"/>
  <c r="S35" i="14"/>
  <c r="R31" i="14"/>
  <c r="Q30" i="14"/>
  <c r="T35" i="14" l="1"/>
  <c r="S34" i="14"/>
  <c r="S31" i="14"/>
  <c r="R30" i="14"/>
  <c r="U35" i="14" l="1"/>
  <c r="T39" i="14"/>
  <c r="T34" i="14" s="1"/>
  <c r="T31" i="14"/>
  <c r="S30" i="14"/>
  <c r="V35" i="14" l="1"/>
  <c r="W35" i="14" s="1"/>
  <c r="Y35" i="14" s="1"/>
  <c r="Y34" i="14" s="1"/>
  <c r="AC34" i="14" s="1"/>
  <c r="U39" i="14"/>
  <c r="U34" i="14" s="1"/>
  <c r="U31" i="14"/>
  <c r="T30" i="14"/>
  <c r="V39" i="14" l="1"/>
  <c r="V31" i="14"/>
  <c r="U30" i="14"/>
  <c r="V30" i="14" l="1"/>
  <c r="W30" i="14" s="1"/>
  <c r="W31" i="14"/>
  <c r="Y31" i="14" s="1"/>
  <c r="Y30" i="14" s="1"/>
  <c r="V34" i="14"/>
  <c r="W34" i="14" s="1"/>
  <c r="W39" i="14"/>
  <c r="Z39" i="14" s="1"/>
  <c r="Y53" i="14" l="1"/>
  <c r="D3" i="14" s="1"/>
  <c r="E3" i="14" s="1"/>
  <c r="AC30" i="14"/>
  <c r="W53" i="14"/>
  <c r="AA54" i="14" s="1"/>
  <c r="Z34" i="14"/>
  <c r="Z53" i="14" s="1"/>
  <c r="D4" i="14" s="1"/>
  <c r="D6" i="14" l="1"/>
  <c r="E6" i="14" s="1"/>
  <c r="E4" i="14"/>
  <c r="AB53" i="14"/>
  <c r="X33" i="14"/>
  <c r="X51" i="14"/>
  <c r="X41" i="14"/>
  <c r="X42" i="14"/>
  <c r="X26" i="14"/>
  <c r="X23" i="14"/>
  <c r="X34" i="14"/>
  <c r="X20" i="14"/>
  <c r="X11" i="14"/>
  <c r="X10" i="14"/>
  <c r="X40" i="14"/>
  <c r="X30" i="14"/>
  <c r="X52" i="14"/>
  <c r="Z54" i="14"/>
  <c r="Y54" i="14"/>
  <c r="X53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Carlos Barros Dominguez</author>
    <author>Luis Rojas Crisostomo</author>
  </authors>
  <commentList>
    <comment ref="V9" authorId="0" shapeId="0" xr:uid="{A17D8498-08A6-4823-9AFE-DB2CF873E9CF}">
      <text>
        <r>
          <rPr>
            <b/>
            <sz val="9"/>
            <color indexed="81"/>
            <rFont val="Tahoma"/>
            <family val="2"/>
          </rPr>
          <t>Juan Carlos Barros Dominguez:
Implementación</t>
        </r>
      </text>
    </comment>
    <comment ref="B40" authorId="1" shapeId="0" xr:uid="{24B582CD-9754-4F9F-A30D-6CDAF67E1886}">
      <text>
        <r>
          <rPr>
            <b/>
            <sz val="9"/>
            <color indexed="81"/>
            <rFont val="Tahoma"/>
            <family val="2"/>
          </rPr>
          <t>Luis Rojas Crisostomo:</t>
        </r>
        <r>
          <rPr>
            <sz val="9"/>
            <color indexed="81"/>
            <rFont val="Tahoma"/>
            <family val="2"/>
          </rPr>
          <t xml:space="preserve">
Confirmar si control documentario entra para el 2021 o 2022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Carlos Barros Dominguez</author>
  </authors>
  <commentList>
    <comment ref="J46" authorId="0" shapeId="0" xr:uid="{D6EA7C39-D140-4593-90C6-7057EF6E3926}">
      <text>
        <r>
          <rPr>
            <b/>
            <sz val="9"/>
            <color indexed="81"/>
            <rFont val="Tahoma"/>
            <family val="2"/>
          </rPr>
          <t>Juan Carlos 11 laptop + 11 licencias</t>
        </r>
      </text>
    </comment>
    <comment ref="J47" authorId="0" shapeId="0" xr:uid="{68A53275-A3E1-40B5-BC6B-A300817F819D}">
      <text>
        <r>
          <rPr>
            <b/>
            <sz val="9"/>
            <color indexed="81"/>
            <rFont val="Tahoma"/>
            <family val="2"/>
          </rPr>
          <t>Juan Carlos 11 laptop + 11 licencias</t>
        </r>
      </text>
    </comment>
    <comment ref="J48" authorId="0" shapeId="0" xr:uid="{49B1257F-27CC-4BAC-A212-ACF646062826}">
      <text>
        <r>
          <rPr>
            <b/>
            <sz val="9"/>
            <color indexed="81"/>
            <rFont val="Tahoma"/>
            <family val="2"/>
          </rPr>
          <t>Juan Carlos 11 laptop + 11 licencias</t>
        </r>
      </text>
    </comment>
    <comment ref="J49" authorId="0" shapeId="0" xr:uid="{4C813BDA-EA21-4955-B127-308C4A4E6D8B}">
      <text>
        <r>
          <rPr>
            <b/>
            <sz val="9"/>
            <color indexed="81"/>
            <rFont val="Tahoma"/>
            <family val="2"/>
          </rPr>
          <t>Juan Carlos 11 laptop + 11 licencias</t>
        </r>
      </text>
    </comment>
    <comment ref="J50" authorId="0" shapeId="0" xr:uid="{EF281109-551E-403C-9649-49B0D9CBB933}">
      <text>
        <r>
          <rPr>
            <b/>
            <sz val="9"/>
            <color indexed="81"/>
            <rFont val="Tahoma"/>
            <family val="2"/>
          </rPr>
          <t>Juan Carlos 11 laptop + 11 licencias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Rojas Crisostomo</author>
  </authors>
  <commentList>
    <comment ref="F5" authorId="0" shapeId="0" xr:uid="{AC02DE28-623D-4BD9-B8AD-17F5FB0A63E9}">
      <text>
        <r>
          <rPr>
            <sz val="9"/>
            <color indexed="81"/>
            <rFont val="Tahoma"/>
            <family val="2"/>
          </rPr>
          <t>Impacta en emision</t>
        </r>
      </text>
    </comment>
    <comment ref="V5" authorId="0" shapeId="0" xr:uid="{3BB311CA-0BEF-4E72-A800-E7CEA0A90945}">
      <text>
        <r>
          <rPr>
            <sz val="9"/>
            <color indexed="81"/>
            <rFont val="Tahoma"/>
            <family val="2"/>
          </rPr>
          <t>Cotización por parte del proveedor</t>
        </r>
      </text>
    </comment>
    <comment ref="F8" authorId="0" shapeId="0" xr:uid="{FD437C05-69D9-4056-8F8F-76D863593C13}">
      <text>
        <r>
          <rPr>
            <sz val="9"/>
            <color indexed="81"/>
            <rFont val="Tahoma"/>
            <family val="2"/>
          </rPr>
          <t>Impacta en emision</t>
        </r>
      </text>
    </comment>
  </commentList>
</comments>
</file>

<file path=xl/sharedStrings.xml><?xml version="1.0" encoding="utf-8"?>
<sst xmlns="http://schemas.openxmlformats.org/spreadsheetml/2006/main" count="1895" uniqueCount="439">
  <si>
    <t>FIBERLUX</t>
  </si>
  <si>
    <t>Soles</t>
  </si>
  <si>
    <t>Dólar</t>
  </si>
  <si>
    <t>Implementación del módulo</t>
  </si>
  <si>
    <t>Continuar con el proceso de digitalización</t>
  </si>
  <si>
    <t>Operaciones</t>
  </si>
  <si>
    <t xml:space="preserve">Crear carpetas virtuales </t>
  </si>
  <si>
    <t>Implementar una biblioteca virtual</t>
  </si>
  <si>
    <t>Intranet</t>
  </si>
  <si>
    <t>Mantener operativos las conecciones a internet y los equipos informáticos en buenas condiciones</t>
  </si>
  <si>
    <t>Automatización</t>
  </si>
  <si>
    <t>Mantener operativos los equipos informáticos</t>
  </si>
  <si>
    <t>Auditoria</t>
  </si>
  <si>
    <t>Implementación de sistema de auditoria de impresión de documentos</t>
  </si>
  <si>
    <t>Licenciamiento</t>
  </si>
  <si>
    <t>Implementación de indicadores de gestión</t>
  </si>
  <si>
    <t>Optimización del CRM</t>
  </si>
  <si>
    <t>Eficiencia de procesos</t>
  </si>
  <si>
    <t>Web</t>
  </si>
  <si>
    <t>Rediseño de pagina web</t>
  </si>
  <si>
    <t>Experiencia del cliente</t>
  </si>
  <si>
    <t>Moneda</t>
  </si>
  <si>
    <t>Proyecto</t>
  </si>
  <si>
    <t xml:space="preserve">Tactica </t>
  </si>
  <si>
    <t xml:space="preserve">Estrategia </t>
  </si>
  <si>
    <t>Pagina WEB</t>
  </si>
  <si>
    <t>Fusión</t>
  </si>
  <si>
    <t>Juan Carlos Chavez</t>
  </si>
  <si>
    <t>Luis Rojas</t>
  </si>
  <si>
    <t>Estado</t>
  </si>
  <si>
    <t>Fecha Inicio</t>
  </si>
  <si>
    <t>Fecha Fin</t>
  </si>
  <si>
    <t>TOTAL</t>
  </si>
  <si>
    <t>LICENCIA</t>
  </si>
  <si>
    <t>ZOOM</t>
  </si>
  <si>
    <t>HOSTING Y SOPORTE</t>
  </si>
  <si>
    <t>HOSTING LABS SAC</t>
  </si>
  <si>
    <t>INTERNET</t>
  </si>
  <si>
    <t>TRANSMISION DATOS</t>
  </si>
  <si>
    <t xml:space="preserve">este presupuesto tiene varias variables: implementar un power bi para varias áreas (1) y mejoras al SG5 módulo de recaudación (2). </t>
  </si>
  <si>
    <t>Total general</t>
  </si>
  <si>
    <t>Sin Iniciar</t>
  </si>
  <si>
    <t>Recaudación</t>
  </si>
  <si>
    <t>Area responsable</t>
  </si>
  <si>
    <t>Proyectos</t>
  </si>
  <si>
    <t>TI</t>
  </si>
  <si>
    <t>Objetivo</t>
  </si>
  <si>
    <t>P.Manager</t>
  </si>
  <si>
    <t>Involucrados</t>
  </si>
  <si>
    <t>Actividades</t>
  </si>
  <si>
    <t>Web - Crear la intranet Muya</t>
  </si>
  <si>
    <t>Fecha Fin Real</t>
  </si>
  <si>
    <t>Creación de sede, modulos,grupos entre otros</t>
  </si>
  <si>
    <t>Revisar factibilidad</t>
  </si>
  <si>
    <t xml:space="preserve">Implementación cuentas contables NIF </t>
  </si>
  <si>
    <t xml:space="preserve">Observación </t>
  </si>
  <si>
    <t>Alfredo Ponce</t>
  </si>
  <si>
    <t>Nombre Centro de Costo</t>
  </si>
  <si>
    <t>Nombre Orden Interna</t>
  </si>
  <si>
    <t>Servicio /Material</t>
  </si>
  <si>
    <t>2022</t>
  </si>
  <si>
    <t>Explicación</t>
  </si>
  <si>
    <t>GERENCIA DE OPERACIONES</t>
  </si>
  <si>
    <t>Area</t>
  </si>
  <si>
    <t>POWER BI</t>
  </si>
  <si>
    <t>PERIODO</t>
  </si>
  <si>
    <t>ANUAL</t>
  </si>
  <si>
    <t>US$</t>
  </si>
  <si>
    <t>S/.</t>
  </si>
  <si>
    <t>TC</t>
  </si>
  <si>
    <t>Comentario</t>
  </si>
  <si>
    <t>MENSUAL</t>
  </si>
  <si>
    <t>ZOOM Chiclayo
1 licencia</t>
  </si>
  <si>
    <t>ZOOM Cañete
1 licencia</t>
  </si>
  <si>
    <t>ZOOM Reencuentro
2 licencias</t>
  </si>
  <si>
    <t>ZOOM Corona
2 licencias</t>
  </si>
  <si>
    <t>ZOOM San Antonio
1 licenncia</t>
  </si>
  <si>
    <t>ZOOM Gerencia
Renovación Abril
2 licencias</t>
  </si>
  <si>
    <t>ZOOM Operaciones (2), contabilidad (2), GDH (2)
6 licencias</t>
  </si>
  <si>
    <t>ZOOM Administracion
1 licencia</t>
  </si>
  <si>
    <t>BCTS-EXACTUS</t>
  </si>
  <si>
    <t xml:space="preserve">Renovación octubre
10 licencias y mantenimiento </t>
  </si>
  <si>
    <t>Tipo</t>
  </si>
  <si>
    <t>DNETFIRST SAC-SIGELLA</t>
  </si>
  <si>
    <t>NET VOISS S.A.C-ITELVOX</t>
  </si>
  <si>
    <t>DESARROLLO Y MANTENIMIENTO</t>
  </si>
  <si>
    <t>KUNAQ</t>
  </si>
  <si>
    <t>Mantenimiento y desarrollo</t>
  </si>
  <si>
    <t>PROYECTOS</t>
  </si>
  <si>
    <t>PRESUPUESTO EN SOLES (Sin IGV)</t>
  </si>
  <si>
    <t>SYBVEN DE PERU S.A.C.-DANA</t>
  </si>
  <si>
    <t>Fijo</t>
  </si>
  <si>
    <t>Implementación modulo Ecuador (Em, Rec, TI)</t>
  </si>
  <si>
    <t>Mejora en la emisión - (Dana)</t>
  </si>
  <si>
    <t>Web - Crear la Extranet Muya</t>
  </si>
  <si>
    <t>Emisión</t>
  </si>
  <si>
    <t>Tymiller</t>
  </si>
  <si>
    <t>Plan crecimiento Perú - Ecuador</t>
  </si>
  <si>
    <t>SG5 Web</t>
  </si>
  <si>
    <t xml:space="preserve">Implementación sistema Helpdesk </t>
  </si>
  <si>
    <t xml:space="preserve">Centralización call </t>
  </si>
  <si>
    <t>(F1, O1) Gestionar la automatización de los procesos de emisión y auditoria de contratos.</t>
  </si>
  <si>
    <t>Eficiencia en los procesos</t>
  </si>
  <si>
    <t>SG5</t>
  </si>
  <si>
    <t>Digitalización de contratos - Stock+Vigentes</t>
  </si>
  <si>
    <t>Visor de contratos digitales - Stock+Vigentes</t>
  </si>
  <si>
    <t>Operaciones/Comercial</t>
  </si>
  <si>
    <t>Automatización de la generación de los indicadores</t>
  </si>
  <si>
    <t>2022-I</t>
  </si>
  <si>
    <t>2022-II</t>
  </si>
  <si>
    <t>2022-III</t>
  </si>
  <si>
    <t>2022-IV</t>
  </si>
  <si>
    <t>Stock=10000 contratos (ult.5 años)
10,000x5 hojas=50,000 documentos
50,000x0.30=15,000 soles (stock)
1000 cont x 5 pag.=5000x0.3= 1500 soles</t>
  </si>
  <si>
    <t>Web - Implementación Libro de reclamaciones</t>
  </si>
  <si>
    <t>Extranet</t>
  </si>
  <si>
    <t>CRM Ventas/Servicios</t>
  </si>
  <si>
    <t>2023-I</t>
  </si>
  <si>
    <t>Mejoras en los aplicactivos de CRM-Comercial</t>
  </si>
  <si>
    <t>CRM-SG5</t>
  </si>
  <si>
    <t>SG5 10000
CRM  20000</t>
  </si>
  <si>
    <t>administrativo: 80      80x$5= $400
comercial: 350 
parque: 80             430x$4= $1730</t>
  </si>
  <si>
    <t>Mejoras en los aplicactivos de CRM-Servicios - 24x7 chatbox</t>
  </si>
  <si>
    <t>Provedor chatbox: $ 6000=24,000
CRM  s/ 6000</t>
  </si>
  <si>
    <t xml:space="preserve">Automatización de depositos bancarios </t>
  </si>
  <si>
    <t>Automatización reporte automatico Alianzas (SG5)</t>
  </si>
  <si>
    <t xml:space="preserve">Etapa de definición </t>
  </si>
  <si>
    <t>Presupuesto cero por ser etapa de definición</t>
  </si>
  <si>
    <t>Power bi</t>
  </si>
  <si>
    <t>EXACTUS TOTAL (13)</t>
  </si>
  <si>
    <t xml:space="preserve">APROX </t>
  </si>
  <si>
    <t>Exactus</t>
  </si>
  <si>
    <t>13 LICENCIAS</t>
  </si>
  <si>
    <t>Saldo de linea sigella (8 sedes)</t>
  </si>
  <si>
    <t>Saldo de linea sigella crecimiento 4 sedes</t>
  </si>
  <si>
    <t>Saldo linea sigella 12 sedes</t>
  </si>
  <si>
    <t>INTERNET+TRANSMISION DATOS</t>
  </si>
  <si>
    <t>12 SEDES</t>
  </si>
  <si>
    <t>AVANZA-CRM</t>
  </si>
  <si>
    <t>Cableado de la sede de Pisco y Piura (Gabinete+equipos)</t>
  </si>
  <si>
    <t>Cableado sedes Ecuador (Gabinete+equipos)</t>
  </si>
  <si>
    <t>TOTAL (S/.)</t>
  </si>
  <si>
    <t>Unificacion de base de datos - regularizar clientes y productos</t>
  </si>
  <si>
    <t>Segmentación de Clientes 2022</t>
  </si>
  <si>
    <t>Envío de Cronogramas (masivo)</t>
  </si>
  <si>
    <t>Envíos de Comunicaciones via Email</t>
  </si>
  <si>
    <t>Mejoras al Control de Comprobantes 2022</t>
  </si>
  <si>
    <t>Operaciones/Comercial/SAC</t>
  </si>
  <si>
    <t>Operaciones/Marketing /Comercial/SAC</t>
  </si>
  <si>
    <t>Operaciones/SAC</t>
  </si>
  <si>
    <t>Operaciones/GDH</t>
  </si>
  <si>
    <t>Operaciones/Contabilidad</t>
  </si>
  <si>
    <t>Operaciones/Tesoreria</t>
  </si>
  <si>
    <t>EQUIPOS (LEASING)</t>
  </si>
  <si>
    <t>09/2022-08/2025 48 PC/MON</t>
  </si>
  <si>
    <t>EQUIPOS (LEASING) Y LICENCIAS</t>
  </si>
  <si>
    <t>Registro de canal y origen de propecto</t>
  </si>
  <si>
    <t>HP LENOVO MICROSOFT</t>
  </si>
  <si>
    <t>Credimuya - mejoras</t>
  </si>
  <si>
    <t>Lider responsable</t>
  </si>
  <si>
    <t>Cuenta de TOTAL (S/.)</t>
  </si>
  <si>
    <t>Med</t>
  </si>
  <si>
    <t>S</t>
  </si>
  <si>
    <t>M</t>
  </si>
  <si>
    <t>L</t>
  </si>
  <si>
    <t>Tesoreria</t>
  </si>
  <si>
    <t>Ladislao</t>
  </si>
  <si>
    <t>Comercial</t>
  </si>
  <si>
    <t>Natali Ramos</t>
  </si>
  <si>
    <t>SAC</t>
  </si>
  <si>
    <t>Deisy Huaman</t>
  </si>
  <si>
    <t>GDH</t>
  </si>
  <si>
    <t>Claudia Capcha</t>
  </si>
  <si>
    <t>Contabilidad</t>
  </si>
  <si>
    <t>José Llanos</t>
  </si>
  <si>
    <t>Web Service 2022 comunicaciones SMS (Sigella, SG5)</t>
  </si>
  <si>
    <t>Nuevos canales de cobro</t>
  </si>
  <si>
    <t>Creación sede Pisco y Piura en los sistemas CRM-SG5</t>
  </si>
  <si>
    <t>Diagnóstico de mejora de correo electrónico - administrativo</t>
  </si>
  <si>
    <t>Envío comprobante CTS al correo</t>
  </si>
  <si>
    <t>Herramienta de evaluacion de clima - enero y agosto</t>
  </si>
  <si>
    <t>Herramienta de evaluacion de desempeño - 2 veces al año</t>
  </si>
  <si>
    <t>Herramienta de líderes: evaluacion, capacitaciones, seguiento, etc</t>
  </si>
  <si>
    <t>Automatizar programacion de pagos - Exactus</t>
  </si>
  <si>
    <t>Diagnóstico CRM centralizado</t>
  </si>
  <si>
    <t>GDH - Mejoras SG5 (campos, reportes, cargas masivas, funcionalidad, etc)</t>
  </si>
  <si>
    <t>SAC - Módulo de gestión y mantenimiento de flota</t>
  </si>
  <si>
    <t>Descarga de planimetría de SG5 como plano</t>
  </si>
  <si>
    <t>Tymiller Llacza</t>
  </si>
  <si>
    <t>Ladislao Roque</t>
  </si>
  <si>
    <t>SAC - Mejoras SG5 (control de lápidas, reportes, control documentario, etc)</t>
  </si>
  <si>
    <t>Operaciones/Comercial/Contabilidad/Tesorería/SAC</t>
  </si>
  <si>
    <t>Semanas</t>
  </si>
  <si>
    <t>XS</t>
  </si>
  <si>
    <t>&lt;1</t>
  </si>
  <si>
    <t>1a4</t>
  </si>
  <si>
    <t>5a12</t>
  </si>
  <si>
    <t>13a+</t>
  </si>
  <si>
    <t>Diagnóstico intranet Muya</t>
  </si>
  <si>
    <t>Diagnóstico extranet Muya</t>
  </si>
  <si>
    <t>Implementación</t>
  </si>
  <si>
    <t>LICENCIA (HELPDESK)</t>
  </si>
  <si>
    <t>HELPDESK</t>
  </si>
  <si>
    <t>16 licencias</t>
  </si>
  <si>
    <t>Incremento a 4 licencias sigella 4 sedes</t>
  </si>
  <si>
    <t>LICENCIAS SIGELLA</t>
  </si>
  <si>
    <t>Certificado seguridad (anual+trime)</t>
  </si>
  <si>
    <t>ASESORIA TECNICA</t>
  </si>
  <si>
    <t>Costo</t>
  </si>
  <si>
    <t>Laptop</t>
  </si>
  <si>
    <t>SSD 512 GB</t>
  </si>
  <si>
    <t>RAM 8 GB</t>
  </si>
  <si>
    <t>Usuario</t>
  </si>
  <si>
    <t>Disco Duro SSD 512 GB</t>
  </si>
  <si>
    <t>Memoria RAM 8 GB</t>
  </si>
  <si>
    <t>Sustento</t>
  </si>
  <si>
    <t>Deisy Huaman Lara</t>
  </si>
  <si>
    <t>ü</t>
  </si>
  <si>
    <t>Se solicita laptop, ya que la actual es de 8va generación, disco mecánico 1 TB. Uso Power BI, videoconferencias, Excel. Presenta lentitud frecuente al realizar trabajos. Laptop puede ser designada para jefes de parque</t>
  </si>
  <si>
    <t>Priscila Dominguez</t>
  </si>
  <si>
    <t>Se solicita Disco duro y memoria RAM. Disco mecánico y poca memoria para realizar trabajos cotidianos acorde a la labor</t>
  </si>
  <si>
    <t>Luis Rojas Crisóstomo</t>
  </si>
  <si>
    <t>Se solicita laptop nueva ya que actual presenta lentitud en trabajo cotidiano. Inconvenientes al proyectar en salas de reunión. Laptop puede ser designada para jefes de parque</t>
  </si>
  <si>
    <t xml:space="preserve">Natali Ramos </t>
  </si>
  <si>
    <t>Se solicita memoria RAM debido a labor con Excel y Power BI</t>
  </si>
  <si>
    <t>Daniela Asenjo</t>
  </si>
  <si>
    <t>Se solicita disco duro ya que por trabajo cotidiano se presenta lentitud</t>
  </si>
  <si>
    <t>Irvin Ramos</t>
  </si>
  <si>
    <t>Libre</t>
  </si>
  <si>
    <t>Solicitud para tener como backup</t>
  </si>
  <si>
    <t>Adicionales</t>
  </si>
  <si>
    <t>Mouse inalámbrico (4)</t>
  </si>
  <si>
    <t>Como respaldo</t>
  </si>
  <si>
    <t>Auriculares Logitech H390 (6)</t>
  </si>
  <si>
    <t>Para nuevos usuarios de Sigella</t>
  </si>
  <si>
    <t>Pilas AA (8)</t>
  </si>
  <si>
    <t>Para dispositivos que lo requieran</t>
  </si>
  <si>
    <t>Pilas AAA (8)</t>
  </si>
  <si>
    <t>$500</t>
  </si>
  <si>
    <t>LEASING 3 HP</t>
  </si>
  <si>
    <t>NUEVO LEASING CREC HP</t>
  </si>
  <si>
    <t>PIU 10/2022-09/2026 8 PC/MON</t>
  </si>
  <si>
    <t>PIS Y ECU1 04/2022-03/2026 16 PC/MON</t>
  </si>
  <si>
    <t>ECU2 08/2022-07/2026 8 PC/MON</t>
  </si>
  <si>
    <t>LEASING PER2 HP</t>
  </si>
  <si>
    <t>LEASING PER3 HP</t>
  </si>
  <si>
    <t>09/2019-08/2022 4PC/MON+2LAP+6LIC</t>
  </si>
  <si>
    <t>10/2019-09/2022 10PC/MON+1LAP+11LIC</t>
  </si>
  <si>
    <t>RENOV LEASING PER3  HP</t>
  </si>
  <si>
    <t>REN 10/2022-09/2026 10PC/MON</t>
  </si>
  <si>
    <t>RENOV LEASING PER2 HP</t>
  </si>
  <si>
    <t>REN 09/2022-08/2026 4PC/MON</t>
  </si>
  <si>
    <t>LAPTOP CRECIM</t>
  </si>
  <si>
    <t>OPER</t>
  </si>
  <si>
    <t>PMO</t>
  </si>
  <si>
    <t>ASIS EMIS</t>
  </si>
  <si>
    <t>ADM</t>
  </si>
  <si>
    <t>LEAS.PER3 1 LAPTOP   10/22
LEAS.PER2 2 LAPTOP - 09/22</t>
  </si>
  <si>
    <t>PISCO 3 LAPTOP: 04/22
ECU1 3 LAPTOP:  04/22
ECU2 3 LAPTOP: 07/22
PIURA 3 LAPTOP: 10/22</t>
  </si>
  <si>
    <t>ZOOM TOTAL (16)</t>
  </si>
  <si>
    <t>se proyecta la compra de 3 licencias.</t>
  </si>
  <si>
    <t>16 LICENCIAS</t>
  </si>
  <si>
    <t>%</t>
  </si>
  <si>
    <t>plos de software. En otras palabras:</t>
  </si>
  <si>
    <t>Hardware = equipos o dispositivos que puedes tocar, por ejemplo: CPU, disco duro, monitor, teléfono celular, etc</t>
  </si>
  <si>
    <t>Software = lo que se ejecuta en el equipo, por ejemplo: Windows, juegos de computadora, procesador de texto, navegadores de internet, apps, etc</t>
  </si>
  <si>
    <t>Migración fisico a nube+memoria+servidor</t>
  </si>
  <si>
    <r>
      <t xml:space="preserve">Renovación octubre
3 licencias
</t>
    </r>
    <r>
      <rPr>
        <sz val="11"/>
        <color rgb="FFFF0000"/>
        <rFont val="Arial"/>
        <family val="2"/>
      </rPr>
      <t>1 licencia crecimiento sedes</t>
    </r>
  </si>
  <si>
    <t>4 LICENCIAS</t>
  </si>
  <si>
    <t>fiberlux</t>
  </si>
  <si>
    <t>Chimbote</t>
  </si>
  <si>
    <t>Sedes</t>
  </si>
  <si>
    <t>Fiberlux</t>
  </si>
  <si>
    <t xml:space="preserve">Estamos bien protegidos </t>
  </si>
  <si>
    <t>el tiempo de respuesta es de inmediato</t>
  </si>
  <si>
    <t>si se cae la molina, se levanta la contigencia en la misma sede (tenemos fibras tendidas 1 principal y 1 contigencia)</t>
  </si>
  <si>
    <t>si se cae la contigencia, se levanta la sede cañete.</t>
  </si>
  <si>
    <t>Incremento linea Cuzco y Chiclayo (de 10mb a 15-20 mb)</t>
  </si>
  <si>
    <t>2 SEDES PISCO Y PIURA (10-15mb)</t>
  </si>
  <si>
    <t>2 SEDES ECUADOR(20 mb)</t>
  </si>
  <si>
    <t>1 licencia</t>
  </si>
  <si>
    <t xml:space="preserve">CREC OPE 2 LAPTOP: (2) 01/22 </t>
  </si>
  <si>
    <t>TOTAL PC: 94
62 Leas
32 (pis/piu/ecu1/ecu2)
TOTAL LAP: 20 
3 Leas
12(pis/piu/ecu1/ecu2)
2 crec.ope
3 Mant
TOTAL LIC:  69
17 Leas+49 nuevas + 3 LIC WIN</t>
  </si>
  <si>
    <t>Pres. x crec</t>
  </si>
  <si>
    <t>Pres. x mej/mant</t>
  </si>
  <si>
    <t>Pres. oper.</t>
  </si>
  <si>
    <t>Costo x pc+monitor =800x8=6400/36=178 +interes=190</t>
  </si>
  <si>
    <t>Web - Implementación de la página WEB
Certificación y seguridad de páginas web</t>
  </si>
  <si>
    <t>coordinar con TI para la certificación</t>
  </si>
  <si>
    <t>(Todas)</t>
  </si>
  <si>
    <t>Total</t>
  </si>
  <si>
    <t>Suma de TOTAL (S/.)</t>
  </si>
  <si>
    <t>Usar presupuesto horas mantenimiento</t>
  </si>
  <si>
    <t>SG5-SIGELLA</t>
  </si>
  <si>
    <t>EXACTUS-SG5</t>
  </si>
  <si>
    <t>EXACTUS</t>
  </si>
  <si>
    <t>CRM</t>
  </si>
  <si>
    <t>SG5-DANA</t>
  </si>
  <si>
    <t>4 RAM = $60    TOTAL= $240 
3 DISCO = $70    TOTAL= $210
4 MOUSE+6 AURICULARES=$500
ANTIVIRUS SERV FISICO $1550 HYO/LIMA</t>
  </si>
  <si>
    <t>Automatizar el proceso desde el CRM</t>
  </si>
  <si>
    <t xml:space="preserve">Actual </t>
  </si>
  <si>
    <t>Admin</t>
  </si>
  <si>
    <t>Parques</t>
  </si>
  <si>
    <t>colaborad</t>
  </si>
  <si>
    <t>$</t>
  </si>
  <si>
    <t xml:space="preserve">anual </t>
  </si>
  <si>
    <t>propuesta microsoft 365 basico</t>
  </si>
  <si>
    <t>total $</t>
  </si>
  <si>
    <t>s/.</t>
  </si>
  <si>
    <t>año</t>
  </si>
  <si>
    <t>SG5 28000
CRM  9000</t>
  </si>
  <si>
    <t>Crecimiento: Pisco - Abril 2022
                        Piura - Octubre 2022
                        Ecuador Salina - Abril 2022
                        Ecuador sto Domingo - Agosto 2022</t>
  </si>
  <si>
    <t>Mejoras en los aplicactivos de CRM-Servicios</t>
  </si>
  <si>
    <t>ENE-DIC 2021
Soles</t>
  </si>
  <si>
    <t>Var.</t>
  </si>
  <si>
    <t>1 laptop+2 lice</t>
  </si>
  <si>
    <t>2 laptop+2 lice</t>
  </si>
  <si>
    <t>6 laptop+6 lic</t>
  </si>
  <si>
    <t>1 laptop+1 lic+1 ram</t>
  </si>
  <si>
    <t>1 laptop+1 lic</t>
  </si>
  <si>
    <t>Años</t>
  </si>
  <si>
    <t>Presup operat.</t>
  </si>
  <si>
    <t>Presup x crecim.</t>
  </si>
  <si>
    <t>Presup x mej/mant</t>
  </si>
  <si>
    <t xml:space="preserve">efecto item-variable consumo sigella </t>
  </si>
  <si>
    <t xml:space="preserve">RESUMEN PRESUPUESTO </t>
  </si>
  <si>
    <t>Nota 2022</t>
  </si>
  <si>
    <t>Mejoras del proceso de emisión+auditoria - implementación - centralización - control documentario</t>
  </si>
  <si>
    <t>Dana: $1000
Kunaq: S/.4000</t>
  </si>
  <si>
    <t>Mejora del proceso de recibos de separación CRM - cierre Caja</t>
  </si>
  <si>
    <t>Migrar de serv. Fisicos a nube</t>
  </si>
  <si>
    <t>tiempo de respuesta</t>
  </si>
  <si>
    <t xml:space="preserve">correos </t>
  </si>
  <si>
    <t>mensual</t>
  </si>
  <si>
    <t>cambiar leasin es arredan,iento</t>
  </si>
  <si>
    <t>ASESORIA TECNICA OPERATIVO</t>
  </si>
  <si>
    <t>sustento arrendamiento</t>
  </si>
  <si>
    <t>Q</t>
  </si>
  <si>
    <t>total</t>
  </si>
  <si>
    <t xml:space="preserve">Costo </t>
  </si>
  <si>
    <t>igv</t>
  </si>
  <si>
    <t xml:space="preserve">tiempo de vida </t>
  </si>
  <si>
    <t xml:space="preserve">Beneficios </t>
  </si>
  <si>
    <t>Cuota</t>
  </si>
  <si>
    <t>q</t>
  </si>
  <si>
    <t>Renov. Laptop</t>
  </si>
  <si>
    <t>Ahorro</t>
  </si>
  <si>
    <t>venta lapto</t>
  </si>
  <si>
    <t>Compra de Laptop</t>
  </si>
  <si>
    <t>Inversión</t>
  </si>
  <si>
    <t>Compra de Licencias Office</t>
  </si>
  <si>
    <t>Compra de Licencias Wind</t>
  </si>
  <si>
    <t>MANT 3 LAPTOP x ANTIG: 03/04/05-22</t>
  </si>
  <si>
    <t xml:space="preserve">MANT STOCK LICENCIAS WIND 2
LICENCIAS X $200 </t>
  </si>
  <si>
    <t>Mantenimiento TI</t>
  </si>
  <si>
    <t>PIS Y ECU1 16 PC LICENCIAS : 04/22
PIU 8 PC  LICENCIAS : 10/22
ECU2 8 PC LICENCIAS : 07/22
PIS Y ECU1 6 LAP LICENCIAS: 04/22
ECU2 3 LAP LICENCIAS: 07/22
PIU 3 LAP LICENCIAS: 10/22
CREC OPE 2 LICENCIA: (2) 01/22
MANT STOCK LICENCIAS OF$190 (3) 03/04/05</t>
  </si>
  <si>
    <r>
      <t xml:space="preserve">.Crecimiento: exactus (3), sigella (4), migración serv fisico a nube, saldo sigella, internet (4 sedes), equipos (32pc y </t>
    </r>
    <r>
      <rPr>
        <sz val="9"/>
        <color rgb="FFFF0000"/>
        <rFont val="Arial"/>
        <family val="2"/>
      </rPr>
      <t>12 lap (4), 3 lap x leas. (se envio presup a proyectos)</t>
    </r>
    <r>
      <rPr>
        <sz val="9"/>
        <color theme="1"/>
        <rFont val="Arial"/>
        <family val="2"/>
      </rPr>
      <t xml:space="preserve">
</t>
    </r>
    <r>
      <rPr>
        <sz val="9"/>
        <color rgb="FFFF0000"/>
        <rFont val="Arial"/>
        <family val="2"/>
      </rPr>
      <t xml:space="preserve">Crecimiento recursos: Ope 2 lap.(se envio presup a proyectos)
Licencias: 46 (se envio presup a proyectos)
</t>
    </r>
    <r>
      <rPr>
        <sz val="9"/>
        <color theme="1"/>
        <rFont val="Arial"/>
        <family val="2"/>
      </rPr>
      <t>Heldesk, asesoria TI.</t>
    </r>
  </si>
  <si>
    <t>Flujo mes S/.</t>
  </si>
  <si>
    <t>Flujo mes US$</t>
  </si>
  <si>
    <t>Flujo</t>
  </si>
  <si>
    <t>PROYECTOS 2022</t>
  </si>
  <si>
    <t xml:space="preserve">Mejora Internet Cuz y Chic
</t>
  </si>
  <si>
    <t>13 a +</t>
  </si>
  <si>
    <t>5 a 12</t>
  </si>
  <si>
    <t>1 a 4</t>
  </si>
  <si>
    <t>Pruebas</t>
  </si>
  <si>
    <t>Desarrollo</t>
  </si>
  <si>
    <t>Alcance</t>
  </si>
  <si>
    <t>Diagnóstico</t>
  </si>
  <si>
    <t>Unif BD - regularizar clientes y productos</t>
  </si>
  <si>
    <t>SAC - Mejoras SG5</t>
  </si>
  <si>
    <t>Teso</t>
  </si>
  <si>
    <t>R&amp;C</t>
  </si>
  <si>
    <t>GDH - Mejoras SG5</t>
  </si>
  <si>
    <t>Proy</t>
  </si>
  <si>
    <t>Cont</t>
  </si>
  <si>
    <t>Creación sede Pisco y Piura CRM-SG5</t>
  </si>
  <si>
    <t>Recibos de separación CRM - cierre Caja</t>
  </si>
  <si>
    <t>Web Service comunicaciones SMS (Sigella, SG5)</t>
  </si>
  <si>
    <t>Com</t>
  </si>
  <si>
    <t>Página WEB + Certificación y seguridad</t>
  </si>
  <si>
    <t>Dic</t>
  </si>
  <si>
    <t>Nov</t>
  </si>
  <si>
    <t>Oct</t>
  </si>
  <si>
    <t>Sep</t>
  </si>
  <si>
    <t>Ago</t>
  </si>
  <si>
    <t>Jul</t>
  </si>
  <si>
    <t>Jun</t>
  </si>
  <si>
    <t>May</t>
  </si>
  <si>
    <t>Abr</t>
  </si>
  <si>
    <t>Mar</t>
  </si>
  <si>
    <t>Feb</t>
  </si>
  <si>
    <t>Ene</t>
  </si>
  <si>
    <t>Funcional</t>
  </si>
  <si>
    <t>2021-00272</t>
  </si>
  <si>
    <t>FU-2021.4-001</t>
  </si>
  <si>
    <t>A Ponce</t>
  </si>
  <si>
    <t>JC Chavez</t>
  </si>
  <si>
    <t>T Llacza</t>
  </si>
  <si>
    <t>L Rojas</t>
  </si>
  <si>
    <t xml:space="preserve">Web - Implementación de la página WEB
</t>
  </si>
  <si>
    <t>Certificación y seguridad de páginas web</t>
  </si>
  <si>
    <t>Cotizacion</t>
  </si>
  <si>
    <t>#</t>
  </si>
  <si>
    <t>Área</t>
  </si>
  <si>
    <t>Emi</t>
  </si>
  <si>
    <t>Ratificación</t>
  </si>
  <si>
    <t>Sigella</t>
  </si>
  <si>
    <t>Dana</t>
  </si>
  <si>
    <t>D+P</t>
  </si>
  <si>
    <t>D</t>
  </si>
  <si>
    <t>P</t>
  </si>
  <si>
    <t>A</t>
  </si>
  <si>
    <t>1°</t>
  </si>
  <si>
    <t>2°</t>
  </si>
  <si>
    <t>Sistemas</t>
  </si>
  <si>
    <t>Se termina el 2022?</t>
  </si>
  <si>
    <t>Factibilidad</t>
  </si>
  <si>
    <t>F</t>
  </si>
  <si>
    <t>Luego</t>
  </si>
  <si>
    <t>Ok</t>
  </si>
  <si>
    <t>FU-2021.4-006</t>
  </si>
  <si>
    <t>Modulo de generacion de tramas Niubiz</t>
  </si>
  <si>
    <t>FU-2021.4-005</t>
  </si>
  <si>
    <t>Modulo generacion de cartas de cobranza</t>
  </si>
  <si>
    <t>FU-2021.4-004</t>
  </si>
  <si>
    <t>Encriptación de contraseñas</t>
  </si>
  <si>
    <t>FU-2021.4-003</t>
  </si>
  <si>
    <t>Modificación del número de operación para la conciliación BCP y Caja Huancayo</t>
  </si>
  <si>
    <t>Registro de canal de venta y origen de prospecto</t>
  </si>
  <si>
    <t>FU-2021.4-002</t>
  </si>
  <si>
    <t>Importador y exportador de precios</t>
  </si>
  <si>
    <t>FU-2021.4-007</t>
  </si>
  <si>
    <t>Modificaciones CRM</t>
  </si>
  <si>
    <t>FU-2021.4-008</t>
  </si>
  <si>
    <t>Modificaciones SG5</t>
  </si>
  <si>
    <t>FU-2021.4-009</t>
  </si>
  <si>
    <t>FU-2021.4-010</t>
  </si>
  <si>
    <t>Web Services 2022 comunicaciones SMS (Sigella, SG5)</t>
  </si>
  <si>
    <t>Paul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</si>
</sst>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 * #,##0_ ;_ * \-#,##0_ ;_ * &quot;-&quot;??_ ;_ @_ "/>
    <numFmt numFmtId="165" formatCode="_ * #,##0_ ;_ * \-#,##0_ ;_ * &quot;-&quot;_ ;_ @_ "/>
    <numFmt numFmtId="166" formatCode="#,##0.00_ ;\-#,##0.00\ "/>
    <numFmt numFmtId="167" formatCode="0.0%"/>
    <numFmt numFmtId="168" formatCode="_ * #,##0.00_ ;_ * \-#,##0.00_ ;_ * &quot;-&quot;_ ;_ @_ 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8"/>
      <color theme="0"/>
      <name val="Arial"/>
      <family val="2"/>
    </font>
    <font>
      <sz val="16"/>
      <color theme="0"/>
      <name val="Arial"/>
      <family val="2"/>
    </font>
    <font>
      <sz val="12"/>
      <color theme="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2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Wingdings"/>
      <charset val="2"/>
    </font>
    <font>
      <b/>
      <sz val="14"/>
      <color theme="1"/>
      <name val="Calibri"/>
      <family val="2"/>
      <scheme val="minor"/>
    </font>
    <font>
      <b/>
      <sz val="11"/>
      <color rgb="FF0070C0"/>
      <name val="Arial"/>
      <family val="2"/>
    </font>
    <font>
      <sz val="16"/>
      <color theme="1"/>
      <name val="Arial"/>
      <family val="2"/>
    </font>
    <font>
      <b/>
      <sz val="16"/>
      <color theme="0"/>
      <name val="Arial"/>
      <family val="2"/>
    </font>
    <font>
      <b/>
      <sz val="16"/>
      <color rgb="FF0070C0"/>
      <name val="Arial"/>
      <family val="2"/>
    </font>
    <font>
      <sz val="16"/>
      <name val="Arial"/>
      <family val="2"/>
    </font>
    <font>
      <b/>
      <sz val="16"/>
      <color theme="1"/>
      <name val="Arial"/>
      <family val="2"/>
    </font>
    <font>
      <sz val="8"/>
      <color rgb="FF000000"/>
      <name val="Verdana"/>
      <family val="2"/>
    </font>
    <font>
      <sz val="9"/>
      <color theme="1"/>
      <name val="Arial"/>
      <family val="2"/>
    </font>
    <font>
      <b/>
      <sz val="14"/>
      <color theme="0"/>
      <name val="Arial"/>
      <family val="2"/>
    </font>
    <font>
      <b/>
      <sz val="11"/>
      <color rgb="FFFF0000"/>
      <name val="Arial"/>
      <family val="2"/>
    </font>
    <font>
      <i/>
      <sz val="16"/>
      <color theme="1"/>
      <name val="Arial"/>
      <family val="2"/>
    </font>
    <font>
      <sz val="16"/>
      <color theme="1"/>
      <name val="Calibri"/>
      <family val="2"/>
      <scheme val="minor"/>
    </font>
    <font>
      <i/>
      <sz val="11"/>
      <color rgb="FF0070C0"/>
      <name val="Arial"/>
      <family val="2"/>
    </font>
    <font>
      <b/>
      <sz val="14"/>
      <color rgb="FF0070C0"/>
      <name val="Arial"/>
      <family val="2"/>
    </font>
    <font>
      <b/>
      <i/>
      <sz val="14"/>
      <color theme="1"/>
      <name val="Arial"/>
      <family val="2"/>
    </font>
    <font>
      <b/>
      <i/>
      <sz val="16"/>
      <color theme="8" tint="-0.249977111117893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E2E6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8"/>
      </bottom>
      <diagonal/>
    </border>
    <border>
      <left/>
      <right/>
      <top/>
      <bottom style="thin">
        <color indexed="64"/>
      </bottom>
      <diagonal/>
    </border>
    <border>
      <left style="medium">
        <color rgb="FFBDD6EE"/>
      </left>
      <right style="medium">
        <color rgb="FFBDD6EE"/>
      </right>
      <top style="medium">
        <color rgb="FFBDD6EE"/>
      </top>
      <bottom style="thick">
        <color rgb="FF9CC2E5"/>
      </bottom>
      <diagonal/>
    </border>
    <border>
      <left/>
      <right style="medium">
        <color rgb="FFBDD6EE"/>
      </right>
      <top style="medium">
        <color rgb="FFBDD6EE"/>
      </top>
      <bottom style="thick">
        <color rgb="FF9CC2E5"/>
      </bottom>
      <diagonal/>
    </border>
    <border>
      <left style="medium">
        <color rgb="FFBDD6EE"/>
      </left>
      <right style="medium">
        <color rgb="FFBDD6EE"/>
      </right>
      <top/>
      <bottom style="medium">
        <color rgb="FFBDD6EE"/>
      </bottom>
      <diagonal/>
    </border>
    <border>
      <left/>
      <right style="medium">
        <color rgb="FFBDD6EE"/>
      </right>
      <top/>
      <bottom style="medium">
        <color rgb="FFBDD6EE"/>
      </bottom>
      <diagonal/>
    </border>
    <border>
      <left style="medium">
        <color rgb="FFBDD6EE"/>
      </left>
      <right/>
      <top style="medium">
        <color rgb="FFBDD6EE"/>
      </top>
      <bottom style="medium">
        <color rgb="FFBDD6EE"/>
      </bottom>
      <diagonal/>
    </border>
    <border>
      <left/>
      <right style="medium">
        <color rgb="FFBDD6EE"/>
      </right>
      <top style="medium">
        <color rgb="FFBDD6EE"/>
      </top>
      <bottom style="medium">
        <color rgb="FFBDD6EE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0">
    <xf numFmtId="0" fontId="0" fillId="0" borderId="0" xfId="0"/>
    <xf numFmtId="0" fontId="0" fillId="0" borderId="0" xfId="0" pivotButton="1"/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7" fontId="6" fillId="3" borderId="1" xfId="0" applyNumberFormat="1" applyFont="1" applyFill="1" applyBorder="1" applyAlignment="1">
      <alignment horizontal="center" vertical="center" wrapText="1"/>
    </xf>
    <xf numFmtId="17" fontId="6" fillId="5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 wrapText="1"/>
    </xf>
    <xf numFmtId="4" fontId="2" fillId="0" borderId="0" xfId="0" applyNumberFormat="1" applyFont="1" applyAlignment="1">
      <alignment vertical="center" wrapText="1"/>
    </xf>
    <xf numFmtId="0" fontId="10" fillId="7" borderId="2" xfId="0" applyFont="1" applyFill="1" applyBorder="1" applyAlignment="1">
      <alignment horizontal="left" vertical="center" wrapText="1"/>
    </xf>
    <xf numFmtId="0" fontId="10" fillId="7" borderId="0" xfId="0" quotePrefix="1" applyFont="1" applyFill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9" fillId="6" borderId="2" xfId="0" applyFont="1" applyFill="1" applyBorder="1" applyAlignment="1">
      <alignment horizontal="left" vertical="center" wrapText="1"/>
    </xf>
    <xf numFmtId="1" fontId="9" fillId="6" borderId="2" xfId="0" applyNumberFormat="1" applyFont="1" applyFill="1" applyBorder="1" applyAlignment="1">
      <alignment horizontal="left" vertical="center" wrapText="1"/>
    </xf>
    <xf numFmtId="164" fontId="9" fillId="6" borderId="2" xfId="3" applyNumberFormat="1" applyFont="1" applyFill="1" applyBorder="1" applyAlignment="1">
      <alignment horizontal="left" vertical="center" wrapText="1"/>
    </xf>
    <xf numFmtId="9" fontId="9" fillId="6" borderId="2" xfId="2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 vertical="center" wrapText="1"/>
    </xf>
    <xf numFmtId="164" fontId="9" fillId="6" borderId="0" xfId="3" applyNumberFormat="1" applyFont="1" applyFill="1" applyAlignment="1">
      <alignment horizontal="left" vertical="center" wrapText="1"/>
    </xf>
    <xf numFmtId="165" fontId="9" fillId="6" borderId="0" xfId="0" applyNumberFormat="1" applyFont="1" applyFill="1" applyAlignment="1">
      <alignment horizontal="left" vertical="center" wrapText="1"/>
    </xf>
    <xf numFmtId="165" fontId="9" fillId="6" borderId="0" xfId="3" applyNumberFormat="1" applyFont="1" applyFill="1" applyAlignment="1">
      <alignment horizontal="left" vertical="center" wrapText="1"/>
    </xf>
    <xf numFmtId="165" fontId="9" fillId="6" borderId="0" xfId="0" applyNumberFormat="1" applyFont="1" applyFill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left" vertical="center" wrapText="1"/>
    </xf>
    <xf numFmtId="0" fontId="11" fillId="6" borderId="0" xfId="0" applyFont="1" applyFill="1" applyAlignment="1">
      <alignment horizontal="center" vertical="center" wrapText="1"/>
    </xf>
    <xf numFmtId="17" fontId="10" fillId="7" borderId="2" xfId="0" applyNumberFormat="1" applyFont="1" applyFill="1" applyBorder="1" applyAlignment="1">
      <alignment horizontal="center" vertical="center" wrapText="1"/>
    </xf>
    <xf numFmtId="165" fontId="9" fillId="6" borderId="0" xfId="3" applyNumberFormat="1" applyFont="1" applyFill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vertical="center" wrapText="1"/>
    </xf>
    <xf numFmtId="4" fontId="7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4" fontId="8" fillId="0" borderId="1" xfId="0" applyNumberFormat="1" applyFont="1" applyFill="1" applyBorder="1" applyAlignment="1">
      <alignment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166" fontId="13" fillId="8" borderId="2" xfId="3" applyNumberFormat="1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left" vertical="center" wrapText="1"/>
    </xf>
    <xf numFmtId="1" fontId="13" fillId="6" borderId="2" xfId="0" applyNumberFormat="1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4" fontId="13" fillId="6" borderId="2" xfId="0" applyNumberFormat="1" applyFont="1" applyFill="1" applyBorder="1" applyAlignment="1">
      <alignment horizontal="left" vertical="center" wrapText="1"/>
    </xf>
    <xf numFmtId="1" fontId="15" fillId="6" borderId="2" xfId="0" applyNumberFormat="1" applyFont="1" applyFill="1" applyBorder="1" applyAlignment="1">
      <alignment horizontal="left" vertical="center" wrapText="1"/>
    </xf>
    <xf numFmtId="0" fontId="15" fillId="6" borderId="2" xfId="0" applyFont="1" applyFill="1" applyBorder="1" applyAlignment="1">
      <alignment horizontal="left" vertical="center" wrapText="1"/>
    </xf>
    <xf numFmtId="4" fontId="15" fillId="6" borderId="2" xfId="0" applyNumberFormat="1" applyFont="1" applyFill="1" applyBorder="1" applyAlignment="1">
      <alignment horizontal="left" vertical="center" wrapText="1"/>
    </xf>
    <xf numFmtId="166" fontId="14" fillId="6" borderId="2" xfId="3" applyNumberFormat="1" applyFont="1" applyFill="1" applyBorder="1" applyAlignment="1">
      <alignment horizontal="left" vertical="center" wrapText="1"/>
    </xf>
    <xf numFmtId="164" fontId="13" fillId="6" borderId="2" xfId="3" applyNumberFormat="1" applyFont="1" applyFill="1" applyBorder="1" applyAlignment="1">
      <alignment horizontal="left" vertical="center" wrapText="1"/>
    </xf>
    <xf numFmtId="9" fontId="13" fillId="6" borderId="2" xfId="2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166" fontId="15" fillId="8" borderId="2" xfId="3" applyNumberFormat="1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left" vertical="center" wrapText="1"/>
    </xf>
    <xf numFmtId="1" fontId="9" fillId="10" borderId="2" xfId="0" applyNumberFormat="1" applyFont="1" applyFill="1" applyBorder="1" applyAlignment="1">
      <alignment horizontal="left" vertical="center" wrapText="1"/>
    </xf>
    <xf numFmtId="4" fontId="9" fillId="10" borderId="2" xfId="0" applyNumberFormat="1" applyFont="1" applyFill="1" applyBorder="1" applyAlignment="1">
      <alignment horizontal="left" vertical="center" wrapText="1"/>
    </xf>
    <xf numFmtId="166" fontId="9" fillId="10" borderId="2" xfId="3" applyNumberFormat="1" applyFont="1" applyFill="1" applyBorder="1" applyAlignment="1">
      <alignment horizontal="center" vertical="center" wrapText="1"/>
    </xf>
    <xf numFmtId="166" fontId="11" fillId="10" borderId="2" xfId="3" applyNumberFormat="1" applyFont="1" applyFill="1" applyBorder="1" applyAlignment="1">
      <alignment horizontal="center" vertical="center" wrapText="1"/>
    </xf>
    <xf numFmtId="164" fontId="9" fillId="10" borderId="2" xfId="3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1" fontId="13" fillId="0" borderId="2" xfId="0" applyNumberFormat="1" applyFont="1" applyFill="1" applyBorder="1" applyAlignment="1">
      <alignment horizontal="left" vertical="center" wrapText="1"/>
    </xf>
    <xf numFmtId="4" fontId="13" fillId="0" borderId="2" xfId="0" applyNumberFormat="1" applyFont="1" applyFill="1" applyBorder="1" applyAlignment="1">
      <alignment horizontal="left" vertical="center" wrapText="1"/>
    </xf>
    <xf numFmtId="166" fontId="13" fillId="0" borderId="2" xfId="3" applyNumberFormat="1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NumberFormat="1" applyAlignment="1">
      <alignment horizontal="center"/>
    </xf>
    <xf numFmtId="0" fontId="7" fillId="9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17" fontId="21" fillId="3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9" fillId="0" borderId="2" xfId="0" applyFont="1" applyFill="1" applyBorder="1" applyAlignment="1">
      <alignment horizontal="left" vertical="center" wrapText="1"/>
    </xf>
    <xf numFmtId="1" fontId="9" fillId="0" borderId="2" xfId="0" applyNumberFormat="1" applyFont="1" applyFill="1" applyBorder="1" applyAlignment="1">
      <alignment horizontal="left" vertical="center" wrapText="1"/>
    </xf>
    <xf numFmtId="4" fontId="9" fillId="0" borderId="2" xfId="0" applyNumberFormat="1" applyFont="1" applyFill="1" applyBorder="1" applyAlignment="1">
      <alignment horizontal="left" vertical="center" wrapText="1"/>
    </xf>
    <xf numFmtId="166" fontId="9" fillId="0" borderId="2" xfId="3" applyNumberFormat="1" applyFont="1" applyFill="1" applyBorder="1" applyAlignment="1">
      <alignment horizontal="center" vertical="center" wrapText="1"/>
    </xf>
    <xf numFmtId="164" fontId="9" fillId="0" borderId="2" xfId="3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25" fillId="0" borderId="6" xfId="0" applyFont="1" applyBorder="1" applyAlignment="1">
      <alignment vertical="top"/>
    </xf>
    <xf numFmtId="0" fontId="26" fillId="0" borderId="7" xfId="0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0" fontId="27" fillId="0" borderId="9" xfId="0" applyFont="1" applyBorder="1" applyAlignment="1">
      <alignment horizontal="right" vertical="center"/>
    </xf>
    <xf numFmtId="0" fontId="26" fillId="0" borderId="6" xfId="0" applyFont="1" applyBorder="1" applyAlignment="1">
      <alignment vertical="center"/>
    </xf>
    <xf numFmtId="0" fontId="28" fillId="0" borderId="9" xfId="0" applyFont="1" applyBorder="1" applyAlignment="1">
      <alignment horizontal="center" vertical="center"/>
    </xf>
    <xf numFmtId="0" fontId="25" fillId="0" borderId="9" xfId="0" applyFont="1" applyBorder="1" applyAlignment="1">
      <alignment vertical="top"/>
    </xf>
    <xf numFmtId="0" fontId="27" fillId="0" borderId="9" xfId="0" applyFont="1" applyBorder="1" applyAlignment="1">
      <alignment vertical="center"/>
    </xf>
    <xf numFmtId="0" fontId="25" fillId="0" borderId="8" xfId="0" applyFont="1" applyBorder="1" applyAlignment="1">
      <alignment vertical="top"/>
    </xf>
    <xf numFmtId="0" fontId="26" fillId="0" borderId="9" xfId="0" applyFont="1" applyBorder="1" applyAlignment="1">
      <alignment horizontal="right" vertical="center"/>
    </xf>
    <xf numFmtId="0" fontId="25" fillId="0" borderId="7" xfId="0" applyFont="1" applyBorder="1" applyAlignment="1">
      <alignment vertical="top"/>
    </xf>
    <xf numFmtId="0" fontId="27" fillId="12" borderId="9" xfId="0" applyFont="1" applyFill="1" applyBorder="1" applyAlignment="1">
      <alignment horizontal="right" vertical="center"/>
    </xf>
    <xf numFmtId="4" fontId="15" fillId="0" borderId="2" xfId="0" applyNumberFormat="1" applyFont="1" applyFill="1" applyBorder="1" applyAlignment="1">
      <alignment horizontal="left" vertical="center" wrapText="1"/>
    </xf>
    <xf numFmtId="166" fontId="15" fillId="0" borderId="2" xfId="3" applyNumberFormat="1" applyFont="1" applyFill="1" applyBorder="1" applyAlignment="1">
      <alignment horizontal="left" vertical="center" wrapText="1"/>
    </xf>
    <xf numFmtId="0" fontId="31" fillId="6" borderId="0" xfId="0" applyFont="1" applyFill="1" applyAlignment="1">
      <alignment horizontal="left" vertical="center" wrapText="1"/>
    </xf>
    <xf numFmtId="165" fontId="31" fillId="6" borderId="0" xfId="0" applyNumberFormat="1" applyFont="1" applyFill="1" applyAlignment="1">
      <alignment horizontal="left" vertical="center" wrapText="1"/>
    </xf>
    <xf numFmtId="0" fontId="32" fillId="7" borderId="0" xfId="0" quotePrefix="1" applyFont="1" applyFill="1" applyAlignment="1">
      <alignment horizontal="center" vertical="center" wrapText="1"/>
    </xf>
    <xf numFmtId="9" fontId="33" fillId="10" borderId="2" xfId="2" applyNumberFormat="1" applyFont="1" applyFill="1" applyBorder="1" applyAlignment="1">
      <alignment horizontal="center" vertical="center" wrapText="1"/>
    </xf>
    <xf numFmtId="9" fontId="34" fillId="6" borderId="2" xfId="3" applyNumberFormat="1" applyFont="1" applyFill="1" applyBorder="1" applyAlignment="1">
      <alignment horizontal="left" vertical="center" wrapText="1"/>
    </xf>
    <xf numFmtId="9" fontId="34" fillId="0" borderId="2" xfId="3" applyNumberFormat="1" applyFont="1" applyFill="1" applyBorder="1" applyAlignment="1">
      <alignment horizontal="left" vertical="center" wrapText="1"/>
    </xf>
    <xf numFmtId="9" fontId="24" fillId="6" borderId="3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9" borderId="0" xfId="0" applyFill="1"/>
    <xf numFmtId="0" fontId="37" fillId="10" borderId="2" xfId="0" applyFont="1" applyFill="1" applyBorder="1" applyAlignment="1">
      <alignment horizontal="left" vertical="center" wrapText="1"/>
    </xf>
    <xf numFmtId="17" fontId="38" fillId="7" borderId="2" xfId="0" quotePrefix="1" applyNumberFormat="1" applyFont="1" applyFill="1" applyBorder="1" applyAlignment="1">
      <alignment horizontal="center" vertical="center" wrapText="1"/>
    </xf>
    <xf numFmtId="166" fontId="13" fillId="6" borderId="2" xfId="3" applyNumberFormat="1" applyFont="1" applyFill="1" applyBorder="1" applyAlignment="1">
      <alignment horizontal="left" vertical="center" wrapText="1"/>
    </xf>
    <xf numFmtId="4" fontId="8" fillId="6" borderId="0" xfId="0" applyNumberFormat="1" applyFont="1" applyFill="1" applyAlignment="1">
      <alignment horizontal="center" vertical="center" wrapText="1"/>
    </xf>
    <xf numFmtId="4" fontId="39" fillId="7" borderId="0" xfId="0" quotePrefix="1" applyNumberFormat="1" applyFont="1" applyFill="1" applyAlignment="1">
      <alignment horizontal="center" vertical="center" wrapText="1"/>
    </xf>
    <xf numFmtId="4" fontId="8" fillId="10" borderId="2" xfId="3" applyNumberFormat="1" applyFont="1" applyFill="1" applyBorder="1" applyAlignment="1">
      <alignment horizontal="center" vertical="center" wrapText="1"/>
    </xf>
    <xf numFmtId="4" fontId="8" fillId="10" borderId="2" xfId="2" applyNumberFormat="1" applyFont="1" applyFill="1" applyBorder="1" applyAlignment="1">
      <alignment horizontal="center" vertical="center" wrapText="1"/>
    </xf>
    <xf numFmtId="4" fontId="8" fillId="6" borderId="2" xfId="2" applyNumberFormat="1" applyFont="1" applyFill="1" applyBorder="1" applyAlignment="1">
      <alignment horizontal="center" vertical="center" wrapText="1"/>
    </xf>
    <xf numFmtId="4" fontId="8" fillId="0" borderId="2" xfId="3" applyNumberFormat="1" applyFont="1" applyFill="1" applyBorder="1" applyAlignment="1">
      <alignment horizontal="center" vertical="center" wrapText="1"/>
    </xf>
    <xf numFmtId="4" fontId="8" fillId="0" borderId="2" xfId="2" applyNumberFormat="1" applyFont="1" applyFill="1" applyBorder="1" applyAlignment="1">
      <alignment horizontal="center" vertical="center" wrapText="1"/>
    </xf>
    <xf numFmtId="4" fontId="15" fillId="6" borderId="2" xfId="2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4" fontId="16" fillId="0" borderId="2" xfId="0" applyNumberFormat="1" applyFont="1" applyFill="1" applyBorder="1" applyAlignment="1">
      <alignment horizontal="left" vertical="center" wrapText="1"/>
    </xf>
    <xf numFmtId="166" fontId="16" fillId="0" borderId="2" xfId="3" applyNumberFormat="1" applyFont="1" applyFill="1" applyBorder="1" applyAlignment="1">
      <alignment horizontal="left" vertical="center" wrapText="1"/>
    </xf>
    <xf numFmtId="166" fontId="16" fillId="6" borderId="2" xfId="3" applyNumberFormat="1" applyFont="1" applyFill="1" applyBorder="1" applyAlignment="1">
      <alignment horizontal="left" vertical="center" wrapText="1"/>
    </xf>
    <xf numFmtId="168" fontId="39" fillId="6" borderId="3" xfId="0" applyNumberFormat="1" applyFont="1" applyFill="1" applyBorder="1" applyAlignment="1">
      <alignment horizontal="left" vertical="center" wrapText="1"/>
    </xf>
    <xf numFmtId="9" fontId="40" fillId="6" borderId="0" xfId="2" applyFont="1" applyFill="1" applyAlignment="1">
      <alignment horizontal="center" vertical="center" wrapText="1"/>
    </xf>
    <xf numFmtId="168" fontId="35" fillId="6" borderId="3" xfId="0" applyNumberFormat="1" applyFont="1" applyFill="1" applyBorder="1" applyAlignment="1">
      <alignment vertical="center" wrapText="1"/>
    </xf>
    <xf numFmtId="0" fontId="41" fillId="0" borderId="0" xfId="0" applyFont="1" applyAlignment="1">
      <alignment vertical="center" wrapText="1"/>
    </xf>
    <xf numFmtId="4" fontId="29" fillId="11" borderId="0" xfId="0" applyNumberFormat="1" applyFont="1" applyFill="1" applyAlignment="1">
      <alignment horizontal="center" vertical="center" wrapText="1"/>
    </xf>
    <xf numFmtId="4" fontId="0" fillId="0" borderId="0" xfId="0" applyNumberFormat="1" applyAlignment="1">
      <alignment horizontal="center"/>
    </xf>
    <xf numFmtId="0" fontId="0" fillId="11" borderId="0" xfId="0" applyFill="1"/>
    <xf numFmtId="4" fontId="0" fillId="0" borderId="1" xfId="0" applyNumberFormat="1" applyBorder="1" applyAlignment="1">
      <alignment vertical="center" wrapText="1"/>
    </xf>
    <xf numFmtId="166" fontId="30" fillId="10" borderId="2" xfId="3" applyNumberFormat="1" applyFont="1" applyFill="1" applyBorder="1" applyAlignment="1">
      <alignment horizontal="center" vertical="center" wrapText="1"/>
    </xf>
    <xf numFmtId="4" fontId="42" fillId="6" borderId="2" xfId="0" applyNumberFormat="1" applyFont="1" applyFill="1" applyBorder="1" applyAlignment="1">
      <alignment horizontal="left" vertical="center" wrapText="1"/>
    </xf>
    <xf numFmtId="16" fontId="9" fillId="6" borderId="0" xfId="0" applyNumberFormat="1" applyFont="1" applyFill="1" applyAlignment="1">
      <alignment horizontal="left" vertical="center" wrapText="1"/>
    </xf>
    <xf numFmtId="168" fontId="43" fillId="6" borderId="3" xfId="0" applyNumberFormat="1" applyFont="1" applyFill="1" applyBorder="1" applyAlignment="1">
      <alignment vertical="center" wrapText="1"/>
    </xf>
    <xf numFmtId="0" fontId="45" fillId="6" borderId="12" xfId="0" applyFont="1" applyFill="1" applyBorder="1" applyAlignment="1">
      <alignment horizontal="left" vertical="center" wrapText="1"/>
    </xf>
    <xf numFmtId="0" fontId="45" fillId="6" borderId="12" xfId="3" applyNumberFormat="1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left" vertical="center" wrapText="1"/>
    </xf>
    <xf numFmtId="3" fontId="45" fillId="6" borderId="13" xfId="3" applyNumberFormat="1" applyFont="1" applyFill="1" applyBorder="1" applyAlignment="1">
      <alignment horizontal="center" vertical="center" wrapText="1"/>
    </xf>
    <xf numFmtId="0" fontId="45" fillId="6" borderId="12" xfId="3" applyNumberFormat="1" applyFont="1" applyFill="1" applyBorder="1" applyAlignment="1">
      <alignment vertical="center" wrapText="1"/>
    </xf>
    <xf numFmtId="0" fontId="44" fillId="13" borderId="13" xfId="0" applyFont="1" applyFill="1" applyBorder="1" applyAlignment="1">
      <alignment horizontal="left" vertical="center" wrapText="1"/>
    </xf>
    <xf numFmtId="9" fontId="45" fillId="13" borderId="12" xfId="2" applyFont="1" applyFill="1" applyBorder="1" applyAlignment="1">
      <alignment horizontal="center" vertical="center" wrapText="1"/>
    </xf>
    <xf numFmtId="164" fontId="9" fillId="13" borderId="12" xfId="3" applyNumberFormat="1" applyFont="1" applyFill="1" applyBorder="1" applyAlignment="1">
      <alignment horizontal="left" vertical="center" wrapText="1"/>
    </xf>
    <xf numFmtId="166" fontId="9" fillId="6" borderId="0" xfId="0" applyNumberFormat="1" applyFont="1" applyFill="1" applyAlignment="1">
      <alignment horizontal="left" vertical="center" wrapText="1"/>
    </xf>
    <xf numFmtId="4" fontId="9" fillId="6" borderId="0" xfId="0" applyNumberFormat="1" applyFont="1" applyFill="1" applyAlignment="1">
      <alignment horizontal="left" vertical="center" wrapText="1"/>
    </xf>
    <xf numFmtId="4" fontId="45" fillId="13" borderId="13" xfId="3" applyNumberFormat="1" applyFont="1" applyFill="1" applyBorder="1" applyAlignment="1">
      <alignment horizontal="center" vertical="center" wrapText="1"/>
    </xf>
    <xf numFmtId="167" fontId="45" fillId="13" borderId="12" xfId="2" applyNumberFormat="1" applyFont="1" applyFill="1" applyBorder="1" applyAlignment="1">
      <alignment horizontal="center" vertical="center" wrapText="1"/>
    </xf>
    <xf numFmtId="0" fontId="0" fillId="12" borderId="0" xfId="0" applyFill="1"/>
    <xf numFmtId="4" fontId="0" fillId="0" borderId="0" xfId="0" applyNumberFormat="1"/>
    <xf numFmtId="4" fontId="0" fillId="11" borderId="0" xfId="0" applyNumberFormat="1" applyFill="1"/>
    <xf numFmtId="0" fontId="0" fillId="0" borderId="0" xfId="0" applyAlignment="1">
      <alignment horizontal="right" vertical="center" wrapText="1"/>
    </xf>
    <xf numFmtId="4" fontId="0" fillId="0" borderId="1" xfId="0" applyNumberFormat="1" applyBorder="1" applyAlignment="1">
      <alignment horizontal="center" vertical="center" wrapText="1"/>
    </xf>
    <xf numFmtId="4" fontId="23" fillId="0" borderId="1" xfId="0" applyNumberFormat="1" applyFon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4" fontId="9" fillId="0" borderId="1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37" fillId="0" borderId="1" xfId="0" applyFont="1" applyFill="1" applyBorder="1" applyAlignment="1">
      <alignment vertical="center" wrapText="1"/>
    </xf>
    <xf numFmtId="0" fontId="47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9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48" fillId="0" borderId="14" xfId="0" applyFont="1" applyBorder="1" applyAlignment="1">
      <alignment horizontal="center"/>
    </xf>
    <xf numFmtId="0" fontId="48" fillId="0" borderId="16" xfId="0" applyFont="1" applyBorder="1" applyAlignment="1">
      <alignment horizontal="center"/>
    </xf>
    <xf numFmtId="0" fontId="48" fillId="0" borderId="18" xfId="0" applyFont="1" applyBorder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48" fillId="0" borderId="22" xfId="0" applyFont="1" applyBorder="1"/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48" fillId="0" borderId="23" xfId="0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0" fontId="48" fillId="0" borderId="27" xfId="0" applyFont="1" applyBorder="1"/>
    <xf numFmtId="0" fontId="48" fillId="0" borderId="22" xfId="0" applyFont="1" applyBorder="1" applyAlignment="1">
      <alignment wrapText="1"/>
    </xf>
    <xf numFmtId="0" fontId="49" fillId="0" borderId="14" xfId="0" applyFont="1" applyBorder="1" applyAlignment="1">
      <alignment horizontal="center"/>
    </xf>
    <xf numFmtId="0" fontId="49" fillId="0" borderId="16" xfId="0" applyFont="1" applyBorder="1" applyAlignment="1">
      <alignment horizontal="center"/>
    </xf>
    <xf numFmtId="0" fontId="49" fillId="0" borderId="18" xfId="0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/>
    <xf numFmtId="0" fontId="0" fillId="0" borderId="1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10" borderId="1" xfId="0" applyFont="1" applyFill="1" applyBorder="1" applyAlignment="1">
      <alignment horizontal="center"/>
    </xf>
    <xf numFmtId="0" fontId="0" fillId="13" borderId="1" xfId="0" applyFont="1" applyFill="1" applyBorder="1" applyAlignment="1"/>
    <xf numFmtId="0" fontId="0" fillId="13" borderId="1" xfId="0" applyFont="1" applyFill="1" applyBorder="1" applyAlignment="1">
      <alignment horizontal="center" wrapText="1"/>
    </xf>
    <xf numFmtId="0" fontId="0" fillId="13" borderId="1" xfId="0" applyFont="1" applyFill="1" applyBorder="1" applyAlignment="1">
      <alignment wrapText="1"/>
    </xf>
    <xf numFmtId="0" fontId="0" fillId="13" borderId="1" xfId="0" applyFont="1" applyFill="1" applyBorder="1" applyAlignment="1">
      <alignment horizontal="center"/>
    </xf>
    <xf numFmtId="0" fontId="0" fillId="10" borderId="34" xfId="0" applyFont="1" applyFill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0" fillId="15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 wrapText="1"/>
    </xf>
    <xf numFmtId="0" fontId="2" fillId="1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49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50" fillId="0" borderId="1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16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Alignment="1"/>
    <xf numFmtId="0" fontId="23" fillId="11" borderId="0" xfId="0" applyFont="1" applyFill="1" applyAlignment="1">
      <alignment horizontal="center"/>
    </xf>
    <xf numFmtId="0" fontId="0" fillId="0" borderId="5" xfId="0" applyBorder="1" applyAlignment="1">
      <alignment horizontal="center"/>
    </xf>
    <xf numFmtId="164" fontId="9" fillId="6" borderId="12" xfId="3" applyNumberFormat="1" applyFont="1" applyFill="1" applyBorder="1" applyAlignment="1">
      <alignment horizontal="left" vertical="center" wrapText="1"/>
    </xf>
    <xf numFmtId="0" fontId="24" fillId="14" borderId="12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left" vertical="center" wrapText="1"/>
    </xf>
    <xf numFmtId="0" fontId="37" fillId="6" borderId="12" xfId="3" applyNumberFormat="1" applyFont="1" applyFill="1" applyBorder="1" applyAlignment="1">
      <alignment horizontal="left" vertical="center" wrapText="1"/>
    </xf>
    <xf numFmtId="0" fontId="45" fillId="6" borderId="12" xfId="3" applyNumberFormat="1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vertical="center"/>
    </xf>
    <xf numFmtId="0" fontId="26" fillId="0" borderId="11" xfId="0" applyFont="1" applyBorder="1" applyAlignment="1">
      <alignment vertical="center"/>
    </xf>
    <xf numFmtId="0" fontId="36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8" fillId="0" borderId="1" xfId="0" applyFont="1" applyBorder="1" applyAlignment="1">
      <alignment horizontal="center" vertical="center" textRotation="90"/>
    </xf>
    <xf numFmtId="0" fontId="0" fillId="15" borderId="1" xfId="0" applyFill="1" applyBorder="1" applyAlignment="1">
      <alignment horizontal="center"/>
    </xf>
    <xf numFmtId="0" fontId="50" fillId="0" borderId="1" xfId="0" applyFont="1" applyBorder="1" applyAlignment="1">
      <alignment horizontal="center" vertical="center" textRotation="90"/>
    </xf>
    <xf numFmtId="2" fontId="0" fillId="0" borderId="1" xfId="0" applyNumberFormat="1" applyBorder="1" applyAlignment="1">
      <alignment horizontal="center"/>
    </xf>
  </cellXfs>
  <cellStyles count="4">
    <cellStyle name="Millares" xfId="3" builtinId="3"/>
    <cellStyle name="Millares 5 2" xfId="1" xr:uid="{7A864426-310B-4602-8ED7-B5088C52FF26}"/>
    <cellStyle name="Normal" xfId="0" builtinId="0"/>
    <cellStyle name="Porcentaje" xfId="2" builtinId="5"/>
  </cellStyles>
  <dxfs count="31"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654050</xdr:colOff>
      <xdr:row>1</xdr:row>
      <xdr:rowOff>107950</xdr:rowOff>
    </xdr:from>
    <xdr:to>
      <xdr:col>12</xdr:col>
      <xdr:colOff>5543</xdr:colOff>
      <xdr:row>5</xdr:row>
      <xdr:rowOff>127000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4EF0A0-D1C7-4FA0-88B8-3A4FD3C62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62" t="59885" r="20754" b="25052"/>
        <a:stretch/>
      </xdr:blipFill>
      <xdr:spPr>
        <a:xfrm>
          <a:off x="3702050" y="292100"/>
          <a:ext cx="5447493" cy="75565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6</xdr:row>
      <xdr:rowOff>63500</xdr:rowOff>
    </xdr:from>
    <xdr:to>
      <xdr:col>10</xdr:col>
      <xdr:colOff>190499</xdr:colOff>
      <xdr:row>16</xdr:row>
      <xdr:rowOff>177800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5A3F24-ED6B-4813-8030-A0594EADC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579" t="23274" r="25234" b="29251"/>
        <a:stretch/>
      </xdr:blipFill>
      <xdr:spPr>
        <a:xfrm>
          <a:off x="3276600" y="1168400"/>
          <a:ext cx="4533899" cy="195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44451</xdr:rowOff>
    </xdr:from>
    <xdr:to>
      <xdr:col>4</xdr:col>
      <xdr:colOff>310289</xdr:colOff>
      <xdr:row>62</xdr:row>
      <xdr:rowOff>6350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CA24CA-C164-44D1-A2F3-CC160D2F9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706" t="40393" r="26727" b="22653"/>
        <a:stretch/>
      </xdr:blipFill>
      <xdr:spPr>
        <a:xfrm>
          <a:off x="0" y="11099801"/>
          <a:ext cx="3663089" cy="1435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12700</xdr:rowOff>
    </xdr:from>
    <xdr:to>
      <xdr:col>6</xdr:col>
      <xdr:colOff>508000</xdr:colOff>
      <xdr:row>84</xdr:row>
      <xdr:rowOff>127000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65191FF-D3F3-4066-BD42-5662A6268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1427" t="21175" r="23984" b="9125"/>
        <a:stretch/>
      </xdr:blipFill>
      <xdr:spPr>
        <a:xfrm>
          <a:off x="0" y="13462000"/>
          <a:ext cx="5384800" cy="324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136069</xdr:rowOff>
    </xdr:from>
    <xdr:to>
      <xdr:col>10</xdr:col>
      <xdr:colOff>435429</xdr:colOff>
      <xdr:row>32</xdr:row>
      <xdr:rowOff>4661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ADA741-57C5-4E7E-B0E0-AEDC61FB6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5124" r="13034" b="5313"/>
        <a:stretch/>
      </xdr:blipFill>
      <xdr:spPr>
        <a:xfrm>
          <a:off x="0" y="320219"/>
          <a:ext cx="8055429" cy="5577242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635000</xdr:colOff>
      <xdr:row>2</xdr:row>
      <xdr:rowOff>45357</xdr:rowOff>
    </xdr:from>
    <xdr:to>
      <xdr:col>15</xdr:col>
      <xdr:colOff>279149</xdr:colOff>
      <xdr:row>19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854457-99EC-439C-BD3B-9A1CD7E7D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5530" r="71524" b="19274"/>
        <a:stretch/>
      </xdr:blipFill>
      <xdr:spPr>
        <a:xfrm>
          <a:off x="8255000" y="413657"/>
          <a:ext cx="3454149" cy="3085193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19</xdr:row>
      <xdr:rowOff>90713</xdr:rowOff>
    </xdr:from>
    <xdr:to>
      <xdr:col>17</xdr:col>
      <xdr:colOff>18143</xdr:colOff>
      <xdr:row>32</xdr:row>
      <xdr:rowOff>11147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625AB0-9EDD-43AC-AA79-756043D9B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706" t="40393" r="26727" b="22653"/>
        <a:stretch/>
      </xdr:blipFill>
      <xdr:spPr>
        <a:xfrm>
          <a:off x="8191500" y="3589563"/>
          <a:ext cx="4780643" cy="23143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136063</xdr:colOff>
      <xdr:row>25</xdr:row>
      <xdr:rowOff>85990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2ACE4E-C295-443A-BC5C-0171AD731D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07" t="19428" r="10405" b="5419"/>
        <a:stretch/>
      </xdr:blipFill>
      <xdr:spPr>
        <a:xfrm>
          <a:off x="0" y="0"/>
          <a:ext cx="9264188" cy="4716198"/>
        </a:xfrm>
        <a:prstGeom prst="rect">
          <a:avLst/>
        </a:prstGeom>
      </xdr:spPr>
    </xdr:pic>
    <xdr:clientData/>
  </xdr:twoCellAnchor>
  <xdr:twoCellAnchor editAs="oneCell">
    <xdr:from>
      <xdr:col>12</xdr:col>
      <xdr:colOff>689429</xdr:colOff>
      <xdr:row>0</xdr:row>
      <xdr:rowOff>18143</xdr:rowOff>
    </xdr:from>
    <xdr:to>
      <xdr:col>20</xdr:col>
      <xdr:colOff>426358</xdr:colOff>
      <xdr:row>14</xdr:row>
      <xdr:rowOff>145143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798E26-8984-495B-9CF2-DD4967215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220" t="24077" r="31142" b="39038"/>
        <a:stretch/>
      </xdr:blipFill>
      <xdr:spPr>
        <a:xfrm>
          <a:off x="9833429" y="18143"/>
          <a:ext cx="5832929" cy="2667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14</xdr:row>
      <xdr:rowOff>154213</xdr:rowOff>
    </xdr:from>
    <xdr:to>
      <xdr:col>20</xdr:col>
      <xdr:colOff>526143</xdr:colOff>
      <xdr:row>33</xdr:row>
      <xdr:rowOff>36286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13399D-E8EE-4CE7-9C4C-F5CFE0791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955" t="32454" r="40240" b="22567"/>
        <a:stretch/>
      </xdr:blipFill>
      <xdr:spPr>
        <a:xfrm>
          <a:off x="9987643" y="2694213"/>
          <a:ext cx="5778500" cy="3329216"/>
        </a:xfrm>
        <a:prstGeom prst="rect">
          <a:avLst/>
        </a:prstGeom>
      </xdr:spPr>
    </xdr:pic>
    <xdr:clientData/>
  </xdr:twoCellAnchor>
  <xdr:twoCellAnchor editAs="oneCell">
    <xdr:from>
      <xdr:col>7</xdr:col>
      <xdr:colOff>598714</xdr:colOff>
      <xdr:row>25</xdr:row>
      <xdr:rowOff>154216</xdr:rowOff>
    </xdr:from>
    <xdr:to>
      <xdr:col>13</xdr:col>
      <xdr:colOff>108858</xdr:colOff>
      <xdr:row>35</xdr:row>
      <xdr:rowOff>145143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0827973-BE76-44E0-BAF4-E41DB1C82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865" t="36954" r="34317" b="33148"/>
        <a:stretch/>
      </xdr:blipFill>
      <xdr:spPr>
        <a:xfrm>
          <a:off x="5932714" y="4689930"/>
          <a:ext cx="4082144" cy="18052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roque/AppData/Local/Microsoft/Windows/INetCache/Content.Outlook/MH3XOAG1/Intereses%20por%20presta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dor Financiero"/>
      <sheetName val="Data"/>
    </sheetNames>
    <sheetDataSet>
      <sheetData sheetId="0"/>
      <sheetData sheetId="1">
        <row r="1">
          <cell r="A1">
            <v>1</v>
          </cell>
        </row>
        <row r="6">
          <cell r="B6">
            <v>1</v>
          </cell>
          <cell r="C6" t="str">
            <v>Diario</v>
          </cell>
          <cell r="D6">
            <v>1</v>
          </cell>
          <cell r="E6">
            <v>360</v>
          </cell>
          <cell r="F6" t="str">
            <v>dias</v>
          </cell>
        </row>
        <row r="7">
          <cell r="B7">
            <v>2</v>
          </cell>
          <cell r="C7" t="str">
            <v>Semanal</v>
          </cell>
          <cell r="D7">
            <v>7</v>
          </cell>
          <cell r="E7">
            <v>51</v>
          </cell>
          <cell r="F7" t="str">
            <v>semanas</v>
          </cell>
        </row>
        <row r="8">
          <cell r="B8">
            <v>3</v>
          </cell>
          <cell r="C8" t="str">
            <v>Mensual</v>
          </cell>
          <cell r="D8">
            <v>30</v>
          </cell>
          <cell r="E8">
            <v>12</v>
          </cell>
          <cell r="F8" t="str">
            <v>meses</v>
          </cell>
        </row>
        <row r="9">
          <cell r="B9">
            <v>4</v>
          </cell>
          <cell r="C9" t="str">
            <v>Bimestral</v>
          </cell>
          <cell r="D9">
            <v>60</v>
          </cell>
          <cell r="E9">
            <v>6</v>
          </cell>
          <cell r="F9" t="str">
            <v>bimestres</v>
          </cell>
        </row>
        <row r="10">
          <cell r="B10">
            <v>5</v>
          </cell>
          <cell r="C10" t="str">
            <v>Trimestral</v>
          </cell>
          <cell r="D10">
            <v>90</v>
          </cell>
          <cell r="E10">
            <v>4</v>
          </cell>
          <cell r="F10" t="str">
            <v>trimestres</v>
          </cell>
        </row>
        <row r="11">
          <cell r="B11">
            <v>6</v>
          </cell>
          <cell r="C11" t="str">
            <v>Tetramestral</v>
          </cell>
          <cell r="D11">
            <v>120</v>
          </cell>
          <cell r="E11">
            <v>3</v>
          </cell>
          <cell r="F11" t="str">
            <v>tetramestres</v>
          </cell>
        </row>
        <row r="12">
          <cell r="B12">
            <v>7</v>
          </cell>
          <cell r="C12" t="str">
            <v>Semestral</v>
          </cell>
          <cell r="D12">
            <v>180</v>
          </cell>
          <cell r="E12">
            <v>2</v>
          </cell>
          <cell r="F12" t="str">
            <v>semestres</v>
          </cell>
        </row>
        <row r="13">
          <cell r="B13">
            <v>8</v>
          </cell>
          <cell r="C13" t="str">
            <v>Anual</v>
          </cell>
          <cell r="D13">
            <v>360</v>
          </cell>
          <cell r="E13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an Carlos Barros Dominguez" refreshedDate="44530.329535879631" createdVersion="7" refreshedVersion="7" minRefreshableVersion="3" recordCount="38" xr:uid="{61FF0A17-46D1-47A3-A26D-3AABA643339C}">
  <cacheSource type="worksheet">
    <worksheetSource ref="B2:AG40" sheet="Proyectos 2022"/>
  </cacheSource>
  <cacheFields count="32">
    <cacheField name="Actividades" numFmtId="0">
      <sharedItems/>
    </cacheField>
    <cacheField name="Area responsable" numFmtId="0">
      <sharedItems count="9">
        <s v="Recaudación"/>
        <s v="Emisión"/>
        <s v="Proyectos"/>
        <s v="Comercial"/>
        <s v="SAC"/>
        <s v="TI"/>
        <s v="GDH"/>
        <s v="Contabilidad"/>
        <s v="Tesoreria"/>
      </sharedItems>
    </cacheField>
    <cacheField name="Lider responsable" numFmtId="0">
      <sharedItems/>
    </cacheField>
    <cacheField name="Estado" numFmtId="0">
      <sharedItems/>
    </cacheField>
    <cacheField name="P.Manager" numFmtId="0">
      <sharedItems count="4">
        <s v="Luis Rojas"/>
        <s v="Tymiller Llacza"/>
        <s v="Alfredo Ponce"/>
        <s v="Juan Carlos Chavez"/>
      </sharedItems>
    </cacheField>
    <cacheField name="Objetivo" numFmtId="0">
      <sharedItems containsBlank="1"/>
    </cacheField>
    <cacheField name="Estrategia " numFmtId="0">
      <sharedItems containsBlank="1"/>
    </cacheField>
    <cacheField name="Tactica " numFmtId="0">
      <sharedItems containsBlank="1"/>
    </cacheField>
    <cacheField name="Involucrados" numFmtId="0">
      <sharedItems/>
    </cacheField>
    <cacheField name="Observación " numFmtId="0">
      <sharedItems containsBlank="1"/>
    </cacheField>
    <cacheField name="Fecha Inicio" numFmtId="0">
      <sharedItems count="4">
        <s v="2022-I"/>
        <s v="2022-III"/>
        <s v="2022-II"/>
        <s v="2022-IV"/>
      </sharedItems>
    </cacheField>
    <cacheField name="Med" numFmtId="0">
      <sharedItems count="3">
        <s v="S"/>
        <s v="L"/>
        <s v="M"/>
      </sharedItems>
    </cacheField>
    <cacheField name="Fecha Fin" numFmtId="14">
      <sharedItems containsNonDate="0" containsString="0" containsBlank="1"/>
    </cacheField>
    <cacheField name="Fecha Fin Real" numFmtId="0">
      <sharedItems containsNonDate="0" containsString="0" containsBlank="1"/>
    </cacheField>
    <cacheField name="Fusión" numFmtId="0">
      <sharedItems containsBlank="1"/>
    </cacheField>
    <cacheField name="Proyecto" numFmtId="0">
      <sharedItems/>
    </cacheField>
    <cacheField name="Moneda" numFmtId="0">
      <sharedItems/>
    </cacheField>
    <cacheField name="Comentario" numFmtId="0">
      <sharedItems containsBlank="1"/>
    </cacheField>
    <cacheField name="Ene-22" numFmtId="0">
      <sharedItems containsString="0" containsBlank="1" containsNumber="1" containsInteger="1" minValue="200" maxValue="2500"/>
    </cacheField>
    <cacheField name="Feb-22" numFmtId="0">
      <sharedItems containsString="0" containsBlank="1" containsNumber="1" containsInteger="1" minValue="200" maxValue="3000"/>
    </cacheField>
    <cacheField name="Mar-22" numFmtId="0">
      <sharedItems containsString="0" containsBlank="1" containsNumber="1" containsInteger="1" minValue="190" maxValue="7000"/>
    </cacheField>
    <cacheField name="Abr-22" numFmtId="0">
      <sharedItems containsString="0" containsBlank="1" containsNumber="1" containsInteger="1" minValue="550" maxValue="8000"/>
    </cacheField>
    <cacheField name="May-22" numFmtId="0">
      <sharedItems containsString="0" containsBlank="1" containsNumber="1" containsInteger="1" minValue="190" maxValue="4500"/>
    </cacheField>
    <cacheField name="Jun-22" numFmtId="0">
      <sharedItems containsString="0" containsBlank="1" containsNumber="1" containsInteger="1" minValue="2000" maxValue="4500"/>
    </cacheField>
    <cacheField name="Jul-22" numFmtId="0">
      <sharedItems containsString="0" containsBlank="1" containsNumber="1" containsInteger="1" minValue="1000" maxValue="8000"/>
    </cacheField>
    <cacheField name="Ago-22" numFmtId="0">
      <sharedItems containsString="0" containsBlank="1" containsNumber="1" containsInteger="1" minValue="2000" maxValue="5000"/>
    </cacheField>
    <cacheField name="Set-22" numFmtId="0">
      <sharedItems containsString="0" containsBlank="1" containsNumber="1" containsInteger="1" minValue="2200" maxValue="5000"/>
    </cacheField>
    <cacheField name="Oct-22" numFmtId="0">
      <sharedItems containsString="0" containsBlank="1" containsNumber="1" containsInteger="1" minValue="1100" maxValue="4500"/>
    </cacheField>
    <cacheField name="Nov-22" numFmtId="0">
      <sharedItems containsString="0" containsBlank="1" containsNumber="1" containsInteger="1" minValue="3000" maxValue="4500"/>
    </cacheField>
    <cacheField name="Dic-22" numFmtId="0">
      <sharedItems containsString="0" containsBlank="1" containsNumber="1" containsInteger="1" minValue="3000" maxValue="3000"/>
    </cacheField>
    <cacheField name="TOTAL" numFmtId="4">
      <sharedItems containsSemiMixedTypes="0" containsString="0" containsNumber="1" containsInteger="1" minValue="0" maxValue="37000"/>
    </cacheField>
    <cacheField name="TOTAL (S/.)" numFmtId="4">
      <sharedItems containsSemiMixedTypes="0" containsString="0" containsNumber="1" minValue="0" maxValue="54119.999999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">
  <r>
    <s v="Mejoras al Control de Comprobantes 2022"/>
    <x v="0"/>
    <s v="Juan Carlos Chavez"/>
    <s v="Sin Iniciar"/>
    <x v="0"/>
    <s v="Eficiencia de procesos"/>
    <m/>
    <m/>
    <s v="Recaudación"/>
    <m/>
    <x v="0"/>
    <x v="0"/>
    <m/>
    <m/>
    <m/>
    <s v="SG5"/>
    <s v="Soles"/>
    <s v="Usar presupuesto horas mantenimiento"/>
    <m/>
    <m/>
    <m/>
    <m/>
    <m/>
    <m/>
    <m/>
    <m/>
    <m/>
    <m/>
    <m/>
    <m/>
    <n v="0"/>
    <n v="0"/>
  </r>
  <r>
    <s v="Mejora en la emisión - (Dana)"/>
    <x v="1"/>
    <s v="Tymiller Llacza"/>
    <s v="Sin Iniciar"/>
    <x v="1"/>
    <s v="Experiencia del cliente"/>
    <s v="(F1, O1) Gestionar la automatización de los procesos de emisión y auditoria de contratos."/>
    <s v="Eficiencia en los procesos"/>
    <s v="Operaciones"/>
    <m/>
    <x v="1"/>
    <x v="0"/>
    <m/>
    <m/>
    <m/>
    <s v="SG5-DANA"/>
    <s v="Soles"/>
    <m/>
    <m/>
    <m/>
    <n v="2000"/>
    <n v="2000"/>
    <m/>
    <m/>
    <m/>
    <m/>
    <m/>
    <m/>
    <m/>
    <m/>
    <n v="4000"/>
    <n v="4000"/>
  </r>
  <r>
    <s v="Web - Implementación de la página WEB_x000a_Certificación y seguridad de páginas web"/>
    <x v="2"/>
    <s v="Luis Rojas"/>
    <s v="Sin Iniciar"/>
    <x v="0"/>
    <s v="Experiencia del cliente"/>
    <s v="Experiencia del cliente"/>
    <s v="Rediseño de pagina web"/>
    <s v="Operaciones/Marketing /Comercial/SAC"/>
    <s v="coordinar con TI para la certificación"/>
    <x v="0"/>
    <x v="1"/>
    <m/>
    <m/>
    <s v="Pagina WEB"/>
    <s v="Web"/>
    <s v="Dólar"/>
    <m/>
    <n v="1800"/>
    <n v="1800"/>
    <n v="500"/>
    <m/>
    <m/>
    <m/>
    <m/>
    <m/>
    <m/>
    <m/>
    <m/>
    <m/>
    <n v="4100"/>
    <n v="16810"/>
  </r>
  <r>
    <s v="Mejoras del proceso de emisión+auditoria - implementación - centralización - control documentario"/>
    <x v="1"/>
    <s v="Tymiller Llacza"/>
    <s v="Sin Iniciar"/>
    <x v="1"/>
    <s v="Experiencia del cliente"/>
    <s v="(F1, O1) Gestionar la automatización de los procesos de emisión y auditoria de contratos."/>
    <s v="Eficiencia en los procesos"/>
    <s v="Operaciones/Comercial"/>
    <m/>
    <x v="2"/>
    <x v="2"/>
    <m/>
    <m/>
    <m/>
    <s v="SG5"/>
    <s v="Soles"/>
    <m/>
    <m/>
    <n v="3000"/>
    <n v="3000"/>
    <n v="3000"/>
    <n v="3000"/>
    <n v="3000"/>
    <n v="2000"/>
    <m/>
    <m/>
    <m/>
    <m/>
    <m/>
    <n v="17000"/>
    <n v="17000"/>
  </r>
  <r>
    <s v="Mejoras en los aplicactivos de CRM-Comercial"/>
    <x v="3"/>
    <s v="Natali Ramos"/>
    <s v="Sin Iniciar"/>
    <x v="0"/>
    <s v="Eficiencia de procesos"/>
    <s v="Optimización del CRM"/>
    <s v="CRM Ventas/Servicios"/>
    <s v="Operaciones/Comercial"/>
    <s v="SG5 10000_x000a_CRM  20000"/>
    <x v="0"/>
    <x v="1"/>
    <m/>
    <m/>
    <m/>
    <s v="CRM-SG5"/>
    <s v="Soles"/>
    <m/>
    <m/>
    <m/>
    <m/>
    <n v="4500"/>
    <n v="4500"/>
    <n v="4500"/>
    <n v="4500"/>
    <n v="4500"/>
    <n v="4500"/>
    <m/>
    <m/>
    <m/>
    <n v="27000"/>
    <n v="27000"/>
  </r>
  <r>
    <s v="Mejoras en los aplicactivos de CRM-Servicios"/>
    <x v="4"/>
    <s v="Deisy Huaman"/>
    <s v="Sin Iniciar"/>
    <x v="0"/>
    <s v="Eficiencia de procesos"/>
    <s v="Optimización del CRM"/>
    <s v="CRM Ventas/Servicios"/>
    <s v="Operaciones/SAC"/>
    <s v="CRM"/>
    <x v="3"/>
    <x v="1"/>
    <m/>
    <m/>
    <m/>
    <s v="CRM-SG5"/>
    <s v="Soles"/>
    <m/>
    <m/>
    <m/>
    <m/>
    <m/>
    <m/>
    <m/>
    <m/>
    <m/>
    <n v="3000"/>
    <n v="3000"/>
    <n v="3000"/>
    <n v="3000"/>
    <n v="12000"/>
    <n v="12000"/>
  </r>
  <r>
    <s v="Implementación sistema Helpdesk "/>
    <x v="5"/>
    <s v="Alfredo Ponce"/>
    <s v="Sin Iniciar"/>
    <x v="2"/>
    <s v="Automatización"/>
    <s v="Mantener operativos las conecciones a internet y los equipos informáticos en buenas condiciones"/>
    <s v="Mantener operativos los equipos informáticos"/>
    <s v="Operaciones"/>
    <m/>
    <x v="2"/>
    <x v="2"/>
    <m/>
    <m/>
    <m/>
    <s v="Implementación"/>
    <s v="Dólar"/>
    <m/>
    <m/>
    <m/>
    <n v="1000"/>
    <m/>
    <m/>
    <m/>
    <m/>
    <m/>
    <m/>
    <m/>
    <m/>
    <m/>
    <n v="1000"/>
    <n v="4100"/>
  </r>
  <r>
    <s v="Diagnóstico de mejora de correo electrónico - administrativo"/>
    <x v="5"/>
    <s v="Alfredo Ponce"/>
    <s v="Sin Iniciar"/>
    <x v="2"/>
    <s v="Automatización"/>
    <s v="Mantener operativos las conecciones a internet y los equipos informáticos en buenas condiciones"/>
    <s v="Mantener operativos los equipos informáticos"/>
    <s v="Operaciones"/>
    <s v="administrativo: 80      80x$5= $400_x000a_comercial: 350 _x000a_parque: 80             430x$4= $1730"/>
    <x v="2"/>
    <x v="2"/>
    <m/>
    <m/>
    <m/>
    <s v="Licenciamiento"/>
    <s v="Dólar"/>
    <s v="Presupuesto cero por ser etapa de definición"/>
    <m/>
    <m/>
    <m/>
    <m/>
    <m/>
    <m/>
    <m/>
    <m/>
    <m/>
    <m/>
    <m/>
    <m/>
    <n v="0"/>
    <n v="0"/>
  </r>
  <r>
    <s v="Cableado de la sede de Pisco y Piura (Gabinete+equipos)"/>
    <x v="5"/>
    <s v="Alfredo Ponce"/>
    <s v="Sin Iniciar"/>
    <x v="2"/>
    <s v="Automatización"/>
    <s v="Mantener operativos las conecciones a internet y los equipos informáticos en buenas condiciones"/>
    <s v="Mantener operativos los equipos informáticos"/>
    <s v="Operaciones"/>
    <m/>
    <x v="2"/>
    <x v="2"/>
    <m/>
    <m/>
    <m/>
    <s v="Implementación"/>
    <s v="Soles"/>
    <m/>
    <m/>
    <m/>
    <m/>
    <n v="8000"/>
    <m/>
    <m/>
    <n v="8000"/>
    <m/>
    <m/>
    <m/>
    <m/>
    <m/>
    <n v="16000"/>
    <n v="16000"/>
  </r>
  <r>
    <s v="Cableado sedes Ecuador (Gabinete+equipos)"/>
    <x v="5"/>
    <s v="Alfredo Ponce"/>
    <s v="Sin Iniciar"/>
    <x v="2"/>
    <s v="Automatización"/>
    <s v="Mantener operativos las conecciones a internet y los equipos informáticos en buenas condiciones"/>
    <s v="Mantener operativos los equipos informáticos"/>
    <s v="Operaciones"/>
    <m/>
    <x v="2"/>
    <x v="2"/>
    <m/>
    <m/>
    <m/>
    <s v="Implementación"/>
    <s v="Dólar"/>
    <m/>
    <m/>
    <m/>
    <m/>
    <n v="2500"/>
    <m/>
    <m/>
    <n v="2500"/>
    <m/>
    <m/>
    <m/>
    <m/>
    <m/>
    <n v="5000"/>
    <n v="20500"/>
  </r>
  <r>
    <s v="Diagnóstico intranet Muya"/>
    <x v="6"/>
    <s v="Claudia Capcha"/>
    <s v="Sin Iniciar"/>
    <x v="0"/>
    <s v="Continuar con el proceso de digitalización"/>
    <s v="Implementar una biblioteca virtual"/>
    <s v="Crear carpetas virtuales "/>
    <s v="Operaciones/GDH"/>
    <s v="Etapa de definición "/>
    <x v="3"/>
    <x v="0"/>
    <m/>
    <m/>
    <s v="Pagina WEB"/>
    <s v="Web"/>
    <s v="Dólar"/>
    <s v="Presupuesto cero por ser etapa de definición"/>
    <m/>
    <m/>
    <m/>
    <m/>
    <m/>
    <m/>
    <m/>
    <m/>
    <m/>
    <m/>
    <m/>
    <m/>
    <n v="0"/>
    <n v="0"/>
  </r>
  <r>
    <s v="Credimuya - mejoras"/>
    <x v="0"/>
    <s v="Juan Carlos Chavez"/>
    <s v="Sin Iniciar"/>
    <x v="3"/>
    <s v="Eficiencia de procesos"/>
    <m/>
    <m/>
    <s v="Recaudación"/>
    <m/>
    <x v="3"/>
    <x v="0"/>
    <m/>
    <m/>
    <m/>
    <s v="SG5"/>
    <s v="Soles"/>
    <s v="Usar presupuesto horas mantenimiento"/>
    <m/>
    <m/>
    <m/>
    <m/>
    <m/>
    <m/>
    <m/>
    <m/>
    <m/>
    <m/>
    <m/>
    <m/>
    <n v="0"/>
    <n v="0"/>
  </r>
  <r>
    <s v="Web Service 2022 comunicaciones SMS (Sigella, SG5)"/>
    <x v="0"/>
    <s v="Juan Carlos Chavez"/>
    <s v="Sin Iniciar"/>
    <x v="0"/>
    <s v="Eficiencia de procesos"/>
    <m/>
    <m/>
    <s v="Recaudación"/>
    <m/>
    <x v="0"/>
    <x v="2"/>
    <m/>
    <m/>
    <m/>
    <s v="SG5-SIGELLA"/>
    <s v="Soles"/>
    <m/>
    <m/>
    <n v="2500"/>
    <n v="2500"/>
    <n v="2500"/>
    <n v="2500"/>
    <n v="2500"/>
    <m/>
    <m/>
    <m/>
    <m/>
    <m/>
    <m/>
    <n v="12500"/>
    <n v="12500"/>
  </r>
  <r>
    <s v="Segmentación de Clientes 2022"/>
    <x v="0"/>
    <s v="Juan Carlos Chavez"/>
    <s v="Sin Iniciar"/>
    <x v="3"/>
    <s v="Eficiencia de procesos"/>
    <m/>
    <m/>
    <s v="Recaudación"/>
    <m/>
    <x v="1"/>
    <x v="0"/>
    <m/>
    <m/>
    <m/>
    <s v="SG5"/>
    <s v="Soles"/>
    <s v="Usar presupuesto horas mantenimiento"/>
    <m/>
    <m/>
    <m/>
    <m/>
    <m/>
    <m/>
    <m/>
    <m/>
    <m/>
    <m/>
    <m/>
    <m/>
    <n v="0"/>
    <n v="0"/>
  </r>
  <r>
    <s v="Nuevos canales de cobro"/>
    <x v="0"/>
    <s v="Juan Carlos Chavez"/>
    <s v="Sin Iniciar"/>
    <x v="3"/>
    <s v="Eficiencia de procesos"/>
    <m/>
    <m/>
    <s v="Recaudación"/>
    <m/>
    <x v="3"/>
    <x v="2"/>
    <m/>
    <m/>
    <m/>
    <s v="SG5"/>
    <s v="Soles"/>
    <s v="Usar presupuesto horas mantenimiento"/>
    <m/>
    <m/>
    <m/>
    <m/>
    <m/>
    <m/>
    <m/>
    <m/>
    <m/>
    <m/>
    <m/>
    <m/>
    <n v="0"/>
    <n v="0"/>
  </r>
  <r>
    <s v="Envío de Cronogramas (masivo)"/>
    <x v="0"/>
    <s v="Juan Carlos Chavez"/>
    <s v="Sin Iniciar"/>
    <x v="0"/>
    <s v="Eficiencia de procesos"/>
    <m/>
    <m/>
    <s v="Recaudación"/>
    <m/>
    <x v="1"/>
    <x v="2"/>
    <m/>
    <m/>
    <m/>
    <s v="SG5"/>
    <s v="Soles"/>
    <m/>
    <m/>
    <m/>
    <m/>
    <m/>
    <m/>
    <m/>
    <n v="2000"/>
    <n v="2000"/>
    <m/>
    <m/>
    <m/>
    <m/>
    <n v="4000"/>
    <n v="4000"/>
  </r>
  <r>
    <s v="Envíos de Comunicaciones via Email"/>
    <x v="0"/>
    <s v="Juan Carlos Chavez"/>
    <s v="Sin Iniciar"/>
    <x v="0"/>
    <s v="Eficiencia de procesos"/>
    <m/>
    <m/>
    <s v="Recaudación"/>
    <m/>
    <x v="1"/>
    <x v="2"/>
    <m/>
    <m/>
    <m/>
    <s v="SG5"/>
    <s v="Soles"/>
    <m/>
    <m/>
    <m/>
    <m/>
    <m/>
    <m/>
    <m/>
    <n v="2000"/>
    <n v="2000"/>
    <m/>
    <m/>
    <m/>
    <m/>
    <n v="4000"/>
    <n v="4000"/>
  </r>
  <r>
    <s v="Implementación modulo Ecuador (Em, Rec, TI)"/>
    <x v="2"/>
    <s v="Luis Rojas"/>
    <s v="Sin Iniciar"/>
    <x v="0"/>
    <s v="Eficiencia de procesos"/>
    <m/>
    <m/>
    <s v="Operaciones/Comercial/SAC"/>
    <s v="SG5 28000_x000a_CRM  9000"/>
    <x v="2"/>
    <x v="1"/>
    <m/>
    <m/>
    <m/>
    <s v="CRM-SG5"/>
    <s v="Soles"/>
    <m/>
    <m/>
    <m/>
    <n v="7000"/>
    <n v="3500"/>
    <n v="3500"/>
    <n v="3500"/>
    <n v="3500"/>
    <n v="3500"/>
    <n v="3500"/>
    <n v="4500"/>
    <n v="4500"/>
    <m/>
    <n v="37000"/>
    <n v="37000"/>
  </r>
  <r>
    <s v="Creación sede Pisco y Piura en los sistemas CRM-SG5"/>
    <x v="2"/>
    <s v="Luis Rojas"/>
    <s v="Sin Iniciar"/>
    <x v="0"/>
    <s v="Experiencia del cliente"/>
    <s v="Implementación del módulo"/>
    <s v="Implementación del módulo"/>
    <s v="Operaciones"/>
    <s v="Creación de sede, modulos,grupos entre otros"/>
    <x v="2"/>
    <x v="0"/>
    <m/>
    <m/>
    <m/>
    <s v="CRM-SG5"/>
    <s v="Soles"/>
    <m/>
    <m/>
    <m/>
    <m/>
    <m/>
    <m/>
    <n v="4500"/>
    <m/>
    <m/>
    <m/>
    <n v="4500"/>
    <m/>
    <m/>
    <n v="9000"/>
    <n v="9000"/>
  </r>
  <r>
    <s v="Implementación cuentas contables NIF "/>
    <x v="7"/>
    <s v="José Llanos"/>
    <s v="Sin Iniciar"/>
    <x v="0"/>
    <s v="Eficiencia de procesos"/>
    <s v="Implementación del módulo"/>
    <s v="Implementación del módulo"/>
    <s v="Operaciones/Contabilidad"/>
    <m/>
    <x v="2"/>
    <x v="1"/>
    <m/>
    <m/>
    <m/>
    <s v="EXACTUS"/>
    <s v="Dólar"/>
    <m/>
    <m/>
    <m/>
    <m/>
    <m/>
    <n v="2000"/>
    <n v="2000"/>
    <n v="1000"/>
    <m/>
    <m/>
    <m/>
    <m/>
    <m/>
    <n v="5000"/>
    <n v="20500"/>
  </r>
  <r>
    <s v="Web - Implementación Libro de reclamaciones"/>
    <x v="2"/>
    <s v="Luis Rojas"/>
    <s v="Sin Iniciar"/>
    <x v="0"/>
    <s v="Experiencia del cliente"/>
    <s v="Experiencia del cliente"/>
    <s v="Implementación del módulo"/>
    <s v="Operaciones/SAC"/>
    <m/>
    <x v="2"/>
    <x v="2"/>
    <m/>
    <m/>
    <m/>
    <s v="Web"/>
    <s v="Dólar"/>
    <m/>
    <m/>
    <m/>
    <m/>
    <n v="2500"/>
    <m/>
    <m/>
    <m/>
    <m/>
    <m/>
    <m/>
    <m/>
    <m/>
    <n v="2500"/>
    <n v="10250"/>
  </r>
  <r>
    <s v="Diagnóstico extranet Muya"/>
    <x v="4"/>
    <s v="Deisy Huaman"/>
    <s v="Sin Iniciar"/>
    <x v="0"/>
    <s v="Experiencia del cliente"/>
    <s v="Experiencia del cliente"/>
    <s v="Implementación del módulo"/>
    <s v="Operaciones/SAC"/>
    <s v="Etapa de definición "/>
    <x v="3"/>
    <x v="0"/>
    <m/>
    <m/>
    <s v="Pagina WEB"/>
    <s v="Web"/>
    <s v="Dólar"/>
    <s v="Presupuesto cero por ser etapa de definición"/>
    <m/>
    <m/>
    <m/>
    <m/>
    <m/>
    <m/>
    <m/>
    <m/>
    <m/>
    <m/>
    <m/>
    <m/>
    <n v="0"/>
    <n v="0"/>
  </r>
  <r>
    <s v="Automatización reporte automatico Alianzas (SG5)"/>
    <x v="1"/>
    <s v="Tymiller Llacza"/>
    <s v="Sin Iniciar"/>
    <x v="1"/>
    <s v="Automatización"/>
    <s v="(F1, O1) Gestionar la automatización de los procesos de emisión y auditoria de contratos."/>
    <s v="Implementación de indicadores de gestión"/>
    <s v="Operaciones/Comercial/SAC"/>
    <m/>
    <x v="2"/>
    <x v="2"/>
    <m/>
    <m/>
    <m/>
    <s v="SG5"/>
    <s v="Soles"/>
    <m/>
    <m/>
    <m/>
    <m/>
    <n v="3000"/>
    <n v="3000"/>
    <n v="3000"/>
    <m/>
    <m/>
    <m/>
    <m/>
    <m/>
    <m/>
    <n v="9000"/>
    <n v="9000"/>
  </r>
  <r>
    <s v="Automatización de depositos bancarios "/>
    <x v="8"/>
    <s v="Ladislao Roque"/>
    <s v="Sin Iniciar"/>
    <x v="0"/>
    <s v="Eficiencia de procesos"/>
    <s v="Implementación del módulo"/>
    <s v="Implementación del módulo"/>
    <s v="Operaciones/Tesoreria"/>
    <m/>
    <x v="1"/>
    <x v="1"/>
    <m/>
    <m/>
    <m/>
    <s v="EXACTUS-SG5"/>
    <s v="Soles"/>
    <m/>
    <m/>
    <m/>
    <m/>
    <m/>
    <m/>
    <m/>
    <n v="5000"/>
    <n v="5000"/>
    <n v="5000"/>
    <m/>
    <m/>
    <m/>
    <n v="15000"/>
    <n v="15000"/>
  </r>
  <r>
    <s v="Unificacion de base de datos - regularizar clientes y productos"/>
    <x v="5"/>
    <s v="Alfredo Ponce"/>
    <s v="Sin Iniciar"/>
    <x v="0"/>
    <s v="Eficiencia de procesos"/>
    <m/>
    <s v="Implementación del módulo"/>
    <s v="Operaciones"/>
    <m/>
    <x v="3"/>
    <x v="2"/>
    <m/>
    <m/>
    <m/>
    <s v="SG5"/>
    <s v="Soles"/>
    <s v="Usar presupuesto horas mantenimiento"/>
    <m/>
    <m/>
    <m/>
    <m/>
    <m/>
    <m/>
    <m/>
    <m/>
    <m/>
    <m/>
    <m/>
    <m/>
    <n v="0"/>
    <n v="0"/>
  </r>
  <r>
    <s v="Registro de canal y origen de propecto"/>
    <x v="2"/>
    <s v="Luis Rojas"/>
    <s v="Sin Iniciar"/>
    <x v="0"/>
    <s v="Eficiencia de procesos"/>
    <s v="Implementación del módulo"/>
    <s v="Implementación del módulo"/>
    <s v="Operaciones/Contabilidad"/>
    <m/>
    <x v="0"/>
    <x v="2"/>
    <m/>
    <m/>
    <m/>
    <s v="SG5"/>
    <s v="Soles"/>
    <m/>
    <n v="2500"/>
    <n v="2500"/>
    <n v="2500"/>
    <n v="1500"/>
    <m/>
    <m/>
    <m/>
    <m/>
    <m/>
    <m/>
    <m/>
    <m/>
    <n v="9000"/>
    <n v="9000"/>
  </r>
  <r>
    <s v="Mejora del proceso de recibos de separación CRM - cierre Caja"/>
    <x v="8"/>
    <s v="Luis Rojas"/>
    <s v="Sin Iniciar"/>
    <x v="0"/>
    <m/>
    <m/>
    <m/>
    <s v="Operaciones/Comercial/Contabilidad/Tesorería/SAC"/>
    <s v="Automatizar el proceso desde el CRM"/>
    <x v="0"/>
    <x v="2"/>
    <m/>
    <m/>
    <m/>
    <s v="CRM-SG5"/>
    <s v="Soles"/>
    <m/>
    <m/>
    <n v="2500"/>
    <n v="2500"/>
    <n v="2500"/>
    <n v="2500"/>
    <m/>
    <m/>
    <m/>
    <m/>
    <m/>
    <m/>
    <m/>
    <n v="10000"/>
    <n v="10000"/>
  </r>
  <r>
    <s v="GDH - Mejoras SG5 (campos, reportes, cargas masivas, funcionalidad, etc)"/>
    <x v="6"/>
    <s v="Claudia Capcha"/>
    <s v="Sin Iniciar"/>
    <x v="0"/>
    <m/>
    <m/>
    <m/>
    <s v="Operaciones/GDH"/>
    <m/>
    <x v="2"/>
    <x v="2"/>
    <m/>
    <m/>
    <m/>
    <s v="SG5"/>
    <s v="Soles"/>
    <m/>
    <m/>
    <m/>
    <m/>
    <n v="2500"/>
    <n v="2500"/>
    <n v="2500"/>
    <m/>
    <m/>
    <m/>
    <m/>
    <m/>
    <m/>
    <n v="7500"/>
    <n v="7500"/>
  </r>
  <r>
    <s v="Envío comprobante CTS al correo"/>
    <x v="6"/>
    <s v="Claudia Capcha"/>
    <s v="Sin Iniciar"/>
    <x v="0"/>
    <m/>
    <m/>
    <m/>
    <s v="Operaciones/GDH"/>
    <m/>
    <x v="2"/>
    <x v="0"/>
    <m/>
    <m/>
    <m/>
    <s v="SG5"/>
    <s v="Soles"/>
    <s v="Dana: $1000_x000a_Kunaq: S/.4000"/>
    <m/>
    <m/>
    <m/>
    <n v="4100"/>
    <n v="4000"/>
    <m/>
    <m/>
    <m/>
    <m/>
    <m/>
    <m/>
    <m/>
    <n v="8100"/>
    <n v="8100"/>
  </r>
  <r>
    <s v="Diagnóstico CRM centralizado"/>
    <x v="4"/>
    <s v="Deisy Huaman"/>
    <s v="Sin Iniciar"/>
    <x v="0"/>
    <m/>
    <m/>
    <m/>
    <s v="Operaciones/SAC"/>
    <s v="Etapa de definición "/>
    <x v="3"/>
    <x v="2"/>
    <m/>
    <m/>
    <m/>
    <s v="CRM"/>
    <s v="Soles"/>
    <s v="Presupuesto cero por ser etapa de definición"/>
    <m/>
    <m/>
    <m/>
    <m/>
    <m/>
    <m/>
    <m/>
    <m/>
    <m/>
    <m/>
    <m/>
    <m/>
    <n v="0"/>
    <n v="0"/>
  </r>
  <r>
    <s v="Compra de Laptop"/>
    <x v="5"/>
    <s v="Alfredo Ponce"/>
    <s v="Sin Iniciar"/>
    <x v="2"/>
    <m/>
    <s v="Inversión"/>
    <m/>
    <s v="Operaciones"/>
    <s v="LEAS.PER3 1 LAPTOP   10/22_x000a_LEAS.PER2 2 LAPTOP - 09/22"/>
    <x v="3"/>
    <x v="0"/>
    <m/>
    <m/>
    <m/>
    <s v="Implementación"/>
    <s v="Dólar"/>
    <m/>
    <m/>
    <m/>
    <m/>
    <m/>
    <m/>
    <m/>
    <m/>
    <m/>
    <n v="2200"/>
    <n v="1100"/>
    <m/>
    <m/>
    <n v="3300"/>
    <n v="13529.999999999998"/>
  </r>
  <r>
    <s v="Compra de Laptop"/>
    <x v="5"/>
    <s v="Alfredo Ponce"/>
    <s v="Sin Iniciar"/>
    <x v="2"/>
    <m/>
    <s v="Inversión"/>
    <m/>
    <s v="Operaciones"/>
    <s v="PISCO 3 LAPTOP: 04/22_x000a_ECU1 3 LAPTOP:  04/22_x000a_ECU2 3 LAPTOP: 07/22_x000a_PIURA 3 LAPTOP: 10/22"/>
    <x v="2"/>
    <x v="0"/>
    <m/>
    <m/>
    <m/>
    <s v="Implementación"/>
    <s v="Dólar"/>
    <m/>
    <m/>
    <m/>
    <m/>
    <n v="6600"/>
    <m/>
    <m/>
    <n v="3300"/>
    <m/>
    <m/>
    <n v="3300"/>
    <m/>
    <m/>
    <n v="13200"/>
    <n v="54119.999999999993"/>
  </r>
  <r>
    <s v="Compra de Laptop"/>
    <x v="5"/>
    <s v="Alfredo Ponce"/>
    <s v="Sin Iniciar"/>
    <x v="2"/>
    <m/>
    <s v="Inversión"/>
    <m/>
    <s v="Operaciones"/>
    <s v="CREC OPE 2 LAPTOP: (2) 01/22 "/>
    <x v="0"/>
    <x v="0"/>
    <m/>
    <m/>
    <m/>
    <s v="Implementación"/>
    <s v="Dólar"/>
    <m/>
    <n v="1100"/>
    <m/>
    <m/>
    <m/>
    <m/>
    <m/>
    <m/>
    <m/>
    <m/>
    <m/>
    <m/>
    <m/>
    <n v="1100"/>
    <n v="4510"/>
  </r>
  <r>
    <s v="Compra de Laptop"/>
    <x v="5"/>
    <s v="Alfredo Ponce"/>
    <s v="Sin Iniciar"/>
    <x v="2"/>
    <m/>
    <s v="Inversión"/>
    <m/>
    <s v="Operaciones"/>
    <s v="MANT 3 LAPTOP x ANTIG: 03/04/05-22"/>
    <x v="2"/>
    <x v="0"/>
    <m/>
    <m/>
    <m/>
    <s v="Implementación"/>
    <s v="Dólar"/>
    <m/>
    <m/>
    <m/>
    <n v="1100"/>
    <n v="1100"/>
    <n v="1100"/>
    <m/>
    <m/>
    <m/>
    <m/>
    <m/>
    <m/>
    <m/>
    <n v="3300"/>
    <n v="13529.999999999998"/>
  </r>
  <r>
    <s v="Compra de Licencias Office"/>
    <x v="5"/>
    <s v="Alfredo Ponce"/>
    <s v="Sin Iniciar"/>
    <x v="2"/>
    <m/>
    <s v="Inversión"/>
    <m/>
    <s v="Operaciones"/>
    <s v="PIS Y ECU1 16 PC LICENCIAS : 04/22_x000a_PIU 8 PC  LICENCIAS : 10/22_x000a_ECU2 8 PC LICENCIAS : 07/22_x000a_PIS Y ECU1 6 LAP LICENCIAS: 04/22_x000a_ECU2 3 LAP LICENCIAS: 07/22_x000a_PIU 3 LAP LICENCIAS: 10/22_x000a_CREC OPE 2 LICENCIA: (2) 01/22_x000a_MANT STOCK LICENCIAS OF$190 (3) 03/04/05"/>
    <x v="0"/>
    <x v="0"/>
    <m/>
    <m/>
    <m/>
    <s v="Implementación"/>
    <s v="Dólar"/>
    <m/>
    <n v="380"/>
    <m/>
    <n v="190"/>
    <n v="4370"/>
    <n v="190"/>
    <m/>
    <n v="2090"/>
    <m/>
    <m/>
    <n v="2090"/>
    <m/>
    <m/>
    <n v="9310"/>
    <n v="38171"/>
  </r>
  <r>
    <s v="Compra de Licencias Wind"/>
    <x v="5"/>
    <s v="Alfredo Ponce"/>
    <s v="Sin Iniciar"/>
    <x v="2"/>
    <m/>
    <s v="Inversión"/>
    <m/>
    <s v="Operaciones"/>
    <s v="MANT STOCK LICENCIAS WIND 2_x000a_LICENCIAS X $200 "/>
    <x v="2"/>
    <x v="0"/>
    <m/>
    <m/>
    <m/>
    <s v="Implementación"/>
    <s v="Dólar"/>
    <m/>
    <n v="200"/>
    <n v="200"/>
    <n v="200"/>
    <m/>
    <m/>
    <m/>
    <m/>
    <m/>
    <m/>
    <m/>
    <m/>
    <m/>
    <n v="600"/>
    <n v="2460"/>
  </r>
  <r>
    <s v="Mantenimiento TI"/>
    <x v="5"/>
    <s v="Alfredo Ponce"/>
    <s v="Sin Iniciar"/>
    <x v="2"/>
    <m/>
    <s v="Inversión"/>
    <m/>
    <s v="Operaciones"/>
    <s v="4 RAM = $60    TOTAL= $240 _x000a_3 DISCO = $70    TOTAL= $210_x000a_4 MOUSE+6 AURICULARES=$500_x000a_ANTIVIRUS SERV FISICO $1550 HYO/LIMA"/>
    <x v="2"/>
    <x v="0"/>
    <m/>
    <m/>
    <m/>
    <s v="Implementación"/>
    <s v="Dólar"/>
    <m/>
    <n v="450"/>
    <n v="500"/>
    <m/>
    <n v="550"/>
    <n v="1000"/>
    <m/>
    <m/>
    <m/>
    <m/>
    <m/>
    <m/>
    <m/>
    <n v="2500"/>
    <n v="10250"/>
  </r>
  <r>
    <s v="SAC - Mejoras SG5 (control de lápidas, reportes, control documentario, etc)"/>
    <x v="4"/>
    <s v="Deisy Huaman"/>
    <s v="Sin Iniciar"/>
    <x v="0"/>
    <m/>
    <m/>
    <m/>
    <s v="Operaciones/SAC"/>
    <m/>
    <x v="1"/>
    <x v="2"/>
    <m/>
    <m/>
    <m/>
    <s v="SG5"/>
    <s v="Soles"/>
    <m/>
    <m/>
    <m/>
    <m/>
    <m/>
    <m/>
    <m/>
    <n v="2500"/>
    <n v="2500"/>
    <n v="2500"/>
    <m/>
    <m/>
    <m/>
    <n v="7500"/>
    <n v="75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88AC70-103E-4C17-9227-98E435B7F922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gridDropZones="1" multipleFieldFilters="0">
  <location ref="H5:M10" firstHeaderRow="1" firstDataRow="2" firstDataCol="1" rowPageCount="1" colPageCount="1"/>
  <pivotFields count="32">
    <pivotField compact="0" outline="0" showAll="0"/>
    <pivotField compact="0" outline="0" showAll="0"/>
    <pivotField compact="0" outline="0" showAll="0" defaultSubtotal="0"/>
    <pivotField compact="0" outline="0" showAll="0"/>
    <pivotField axis="axisPage" compact="0" outline="0" multipleItemSelectionAllowed="1" showAll="0">
      <items count="5">
        <item h="1" x="2"/>
        <item h="1" x="3"/>
        <item x="0"/>
        <item h="1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2"/>
        <item x="1"/>
        <item x="3"/>
        <item t="default"/>
      </items>
    </pivotField>
    <pivotField axis="axisRow" compact="0" outline="0" showAll="0" defaultSubtotal="0">
      <items count="3">
        <item x="1"/>
        <item x="2"/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dataField="1" compact="0" numFmtId="4" outline="0" showAll="0"/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10"/>
  </colFields>
  <colItems count="5">
    <i>
      <x/>
    </i>
    <i>
      <x v="1"/>
    </i>
    <i>
      <x v="2"/>
    </i>
    <i>
      <x v="3"/>
    </i>
    <i t="grand">
      <x/>
    </i>
  </colItems>
  <pageFields count="1">
    <pageField fld="4" hier="-1"/>
  </pageFields>
  <dataFields count="1">
    <dataField name="Cuenta de TOTAL (S/.)" fld="31" subtotal="count" baseField="0" baseItem="16"/>
  </dataFields>
  <formats count="6"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" count="0"/>
        </references>
      </pivotArea>
    </format>
    <format dxfId="16">
      <pivotArea field="10" type="button" dataOnly="0" labelOnly="1" outline="0" axis="axisCol" fieldPosition="0"/>
    </format>
    <format dxfId="15">
      <pivotArea type="topRight" dataOnly="0" labelOnly="1" outline="0" fieldPosition="0"/>
    </format>
    <format dxfId="14">
      <pivotArea dataOnly="0" labelOnly="1" fieldPosition="0">
        <references count="1">
          <reference field="10" count="0"/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99F447-2196-4D5F-BBF6-8B500A3A6B2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gridDropZones="1" multipleFieldFilters="0">
  <location ref="A21:B32" firstHeaderRow="2" firstDataRow="2" firstDataCol="1" rowPageCount="1" colPageCount="1"/>
  <pivotFields count="32">
    <pivotField compact="0" outline="0" showAll="0"/>
    <pivotField axis="axisRow" compact="0" outline="0" showAll="0">
      <items count="10">
        <item x="3"/>
        <item x="7"/>
        <item x="1"/>
        <item x="6"/>
        <item x="2"/>
        <item x="0"/>
        <item x="4"/>
        <item x="8"/>
        <item x="5"/>
        <item t="default"/>
      </items>
    </pivotField>
    <pivotField compact="0" outline="0" showAll="0" defaultSubtotal="0"/>
    <pivotField compact="0" outline="0" showAll="0"/>
    <pivotField axis="axisPage" compact="0" outline="0" multipleItemSelectionAllowed="1" showAll="0">
      <items count="5">
        <item x="2"/>
        <item x="3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5">
        <item x="0"/>
        <item x="2"/>
        <item x="1"/>
        <item x="3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dataField="1" compact="0" numFmtId="4" outline="0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1">
    <pageField fld="4" hier="-1"/>
  </pageFields>
  <dataFields count="1">
    <dataField name="Suma de TOTAL (S/.)" fld="31" baseField="1" baseItem="0" numFmtId="4"/>
  </dataFields>
  <formats count="6">
    <format dxfId="24">
      <pivotArea outline="0" collapsedLevelsAreSubtotals="1" fieldPosition="0"/>
    </format>
    <format dxfId="23">
      <pivotArea dataOnly="0" labelOnly="1" outline="0" fieldPosition="0">
        <references count="1">
          <reference field="4" count="0"/>
        </references>
      </pivotArea>
    </format>
    <format dxfId="22">
      <pivotArea field="10" type="button" dataOnly="0" labelOnly="1" outline="0"/>
    </format>
    <format dxfId="21">
      <pivotArea type="topRight" dataOnly="0" labelOnly="1" outline="0" fieldPosition="0"/>
    </format>
    <format dxfId="20">
      <pivotArea dataOnly="0" labelOnly="1" grandCol="1" outline="0" fieldPosition="0"/>
    </format>
    <format dxfId="1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3DBC8C-612B-40FC-8EDC-96126C876ECE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gridDropZones="1" multipleFieldFilters="0">
  <location ref="A5:F16" firstHeaderRow="1" firstDataRow="2" firstDataCol="1" rowPageCount="1" colPageCount="1"/>
  <pivotFields count="32">
    <pivotField compact="0" outline="0" showAll="0"/>
    <pivotField axis="axisRow" compact="0" outline="0" showAll="0">
      <items count="10">
        <item x="3"/>
        <item x="7"/>
        <item x="1"/>
        <item x="6"/>
        <item x="2"/>
        <item x="0"/>
        <item x="4"/>
        <item x="8"/>
        <item x="5"/>
        <item t="default"/>
      </items>
    </pivotField>
    <pivotField compact="0" outline="0" showAll="0" defaultSubtotal="0"/>
    <pivotField compact="0" outline="0" showAll="0"/>
    <pivotField axis="axisPage" compact="0" outline="0" multipleItemSelectionAllowed="1" showAll="0">
      <items count="5">
        <item x="2"/>
        <item x="3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2"/>
        <item x="1"/>
        <item x="3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dataField="1" compact="0" numFmtId="4" outline="0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0"/>
  </colFields>
  <colItems count="5">
    <i>
      <x/>
    </i>
    <i>
      <x v="1"/>
    </i>
    <i>
      <x v="2"/>
    </i>
    <i>
      <x v="3"/>
    </i>
    <i t="grand">
      <x/>
    </i>
  </colItems>
  <pageFields count="1">
    <pageField fld="4" hier="-1"/>
  </pageFields>
  <dataFields count="1">
    <dataField name="Cuenta de TOTAL (S/.)" fld="31" subtotal="count" baseField="0" baseItem="16"/>
  </dataFields>
  <formats count="6">
    <format dxfId="30">
      <pivotArea outline="0" collapsedLevelsAreSubtotals="1" fieldPosition="0"/>
    </format>
    <format dxfId="29">
      <pivotArea dataOnly="0" labelOnly="1" outline="0" fieldPosition="0">
        <references count="1">
          <reference field="4" count="0"/>
        </references>
      </pivotArea>
    </format>
    <format dxfId="28">
      <pivotArea field="10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fieldPosition="0">
        <references count="1">
          <reference field="10" count="0"/>
        </references>
      </pivotArea>
    </format>
    <format dxfId="2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138C-3508-4CA0-9F01-EE4FC9F67D73}">
  <sheetPr>
    <tabColor rgb="FF00B050"/>
  </sheetPr>
  <dimension ref="A1:M47"/>
  <sheetViews>
    <sheetView zoomScale="90" zoomScaleNormal="90" workbookViewId="0">
      <selection activeCell="A2" sqref="A2"/>
    </sheetView>
  </sheetViews>
  <sheetFormatPr baseColWidth="10" defaultRowHeight="15" x14ac:dyDescent="0.25"/>
  <cols>
    <col min="1" max="1" width="18.28515625" bestFit="1" customWidth="1"/>
    <col min="2" max="2" width="12.140625" style="65" bestFit="1" customWidth="1"/>
    <col min="3" max="5" width="15.85546875" style="65" bestFit="1" customWidth="1"/>
    <col min="6" max="6" width="12" style="65" bestFit="1" customWidth="1"/>
    <col min="7" max="7" width="11.7109375" bestFit="1" customWidth="1"/>
    <col min="8" max="8" width="19.7109375" bestFit="1" customWidth="1"/>
    <col min="9" max="12" width="15.85546875" bestFit="1" customWidth="1"/>
    <col min="13" max="13" width="12" bestFit="1" customWidth="1"/>
  </cols>
  <sheetData>
    <row r="1" spans="1:13" x14ac:dyDescent="0.25">
      <c r="A1" s="214" t="s">
        <v>359</v>
      </c>
      <c r="B1" s="214"/>
      <c r="C1" s="214"/>
      <c r="D1" s="214"/>
      <c r="E1" s="214"/>
      <c r="F1" s="214"/>
    </row>
    <row r="3" spans="1:13" x14ac:dyDescent="0.25">
      <c r="A3" s="1" t="s">
        <v>47</v>
      </c>
      <c r="B3" s="65" t="s">
        <v>288</v>
      </c>
      <c r="H3" s="1" t="s">
        <v>47</v>
      </c>
      <c r="I3" s="65" t="s">
        <v>28</v>
      </c>
      <c r="J3" s="65"/>
      <c r="K3" s="65"/>
      <c r="L3" s="65"/>
      <c r="M3" s="65"/>
    </row>
    <row r="4" spans="1:13" x14ac:dyDescent="0.25">
      <c r="I4" s="65"/>
      <c r="J4" s="65"/>
      <c r="K4" s="65"/>
      <c r="L4" s="65"/>
      <c r="M4" s="65"/>
    </row>
    <row r="5" spans="1:13" x14ac:dyDescent="0.25">
      <c r="A5" s="1" t="s">
        <v>159</v>
      </c>
      <c r="B5" s="66" t="s">
        <v>30</v>
      </c>
      <c r="H5" s="1" t="s">
        <v>159</v>
      </c>
      <c r="I5" s="66" t="s">
        <v>30</v>
      </c>
      <c r="J5" s="65"/>
      <c r="K5" s="65"/>
      <c r="L5" s="65"/>
      <c r="M5" s="65"/>
    </row>
    <row r="6" spans="1:13" x14ac:dyDescent="0.25">
      <c r="A6" s="1" t="s">
        <v>43</v>
      </c>
      <c r="B6" s="65" t="s">
        <v>108</v>
      </c>
      <c r="C6" s="65" t="s">
        <v>109</v>
      </c>
      <c r="D6" s="65" t="s">
        <v>110</v>
      </c>
      <c r="E6" s="65" t="s">
        <v>111</v>
      </c>
      <c r="F6" s="65" t="s">
        <v>40</v>
      </c>
      <c r="H6" s="1" t="s">
        <v>160</v>
      </c>
      <c r="I6" s="65" t="s">
        <v>108</v>
      </c>
      <c r="J6" s="65" t="s">
        <v>109</v>
      </c>
      <c r="K6" s="65" t="s">
        <v>110</v>
      </c>
      <c r="L6" s="65" t="s">
        <v>111</v>
      </c>
      <c r="M6" s="65" t="s">
        <v>40</v>
      </c>
    </row>
    <row r="7" spans="1:13" x14ac:dyDescent="0.25">
      <c r="A7" t="s">
        <v>166</v>
      </c>
      <c r="B7" s="67">
        <v>1</v>
      </c>
      <c r="C7" s="67"/>
      <c r="D7" s="67"/>
      <c r="E7" s="67"/>
      <c r="F7" s="67">
        <v>1</v>
      </c>
      <c r="H7" t="s">
        <v>163</v>
      </c>
      <c r="I7" s="67">
        <v>2</v>
      </c>
      <c r="J7" s="67">
        <v>2</v>
      </c>
      <c r="K7" s="67">
        <v>1</v>
      </c>
      <c r="L7" s="67">
        <v>1</v>
      </c>
      <c r="M7" s="67">
        <v>6</v>
      </c>
    </row>
    <row r="8" spans="1:13" x14ac:dyDescent="0.25">
      <c r="A8" t="s">
        <v>172</v>
      </c>
      <c r="B8" s="67"/>
      <c r="C8" s="67">
        <v>1</v>
      </c>
      <c r="D8" s="67"/>
      <c r="E8" s="67"/>
      <c r="F8" s="67">
        <v>1</v>
      </c>
      <c r="H8" t="s">
        <v>162</v>
      </c>
      <c r="I8" s="67">
        <v>3</v>
      </c>
      <c r="J8" s="67">
        <v>2</v>
      </c>
      <c r="K8" s="67">
        <v>3</v>
      </c>
      <c r="L8" s="67">
        <v>2</v>
      </c>
      <c r="M8" s="67">
        <v>10</v>
      </c>
    </row>
    <row r="9" spans="1:13" x14ac:dyDescent="0.25">
      <c r="A9" t="s">
        <v>95</v>
      </c>
      <c r="B9" s="67"/>
      <c r="C9" s="67">
        <v>2</v>
      </c>
      <c r="D9" s="67">
        <v>1</v>
      </c>
      <c r="E9" s="67"/>
      <c r="F9" s="67">
        <v>3</v>
      </c>
      <c r="H9" t="s">
        <v>161</v>
      </c>
      <c r="I9" s="67">
        <v>1</v>
      </c>
      <c r="J9" s="67">
        <v>2</v>
      </c>
      <c r="K9" s="67"/>
      <c r="L9" s="67">
        <v>2</v>
      </c>
      <c r="M9" s="67">
        <v>5</v>
      </c>
    </row>
    <row r="10" spans="1:13" x14ac:dyDescent="0.25">
      <c r="A10" t="s">
        <v>170</v>
      </c>
      <c r="B10" s="67"/>
      <c r="C10" s="67">
        <v>2</v>
      </c>
      <c r="D10" s="67"/>
      <c r="E10" s="67">
        <v>1</v>
      </c>
      <c r="F10" s="67">
        <v>3</v>
      </c>
      <c r="H10" t="s">
        <v>40</v>
      </c>
      <c r="I10" s="67">
        <v>6</v>
      </c>
      <c r="J10" s="67">
        <v>6</v>
      </c>
      <c r="K10" s="67">
        <v>4</v>
      </c>
      <c r="L10" s="67">
        <v>5</v>
      </c>
      <c r="M10" s="67">
        <v>21</v>
      </c>
    </row>
    <row r="11" spans="1:13" x14ac:dyDescent="0.25">
      <c r="A11" t="s">
        <v>44</v>
      </c>
      <c r="B11" s="67">
        <v>2</v>
      </c>
      <c r="C11" s="67">
        <v>3</v>
      </c>
      <c r="D11" s="67"/>
      <c r="E11" s="67"/>
      <c r="F11" s="67">
        <v>5</v>
      </c>
    </row>
    <row r="12" spans="1:13" x14ac:dyDescent="0.25">
      <c r="A12" t="s">
        <v>42</v>
      </c>
      <c r="B12" s="67">
        <v>2</v>
      </c>
      <c r="C12" s="67"/>
      <c r="D12" s="67">
        <v>3</v>
      </c>
      <c r="E12" s="67">
        <v>2</v>
      </c>
      <c r="F12" s="67">
        <v>7</v>
      </c>
    </row>
    <row r="13" spans="1:13" x14ac:dyDescent="0.25">
      <c r="A13" t="s">
        <v>168</v>
      </c>
      <c r="B13" s="67"/>
      <c r="C13" s="67"/>
      <c r="D13" s="67">
        <v>1</v>
      </c>
      <c r="E13" s="67">
        <v>3</v>
      </c>
      <c r="F13" s="67">
        <v>4</v>
      </c>
    </row>
    <row r="14" spans="1:13" x14ac:dyDescent="0.25">
      <c r="A14" t="s">
        <v>164</v>
      </c>
      <c r="B14" s="67">
        <v>1</v>
      </c>
      <c r="C14" s="67"/>
      <c r="D14" s="67">
        <v>1</v>
      </c>
      <c r="E14" s="67"/>
      <c r="F14" s="67">
        <v>2</v>
      </c>
      <c r="H14" s="215" t="s">
        <v>191</v>
      </c>
      <c r="I14" s="215"/>
      <c r="J14" s="215"/>
      <c r="K14" s="215"/>
    </row>
    <row r="15" spans="1:13" x14ac:dyDescent="0.25">
      <c r="A15" t="s">
        <v>45</v>
      </c>
      <c r="B15" s="67">
        <v>2</v>
      </c>
      <c r="C15" s="67">
        <v>8</v>
      </c>
      <c r="D15" s="67"/>
      <c r="E15" s="67">
        <v>2</v>
      </c>
      <c r="F15" s="67">
        <v>12</v>
      </c>
      <c r="H15" s="74" t="s">
        <v>192</v>
      </c>
      <c r="I15" s="74" t="s">
        <v>161</v>
      </c>
      <c r="J15" s="74" t="s">
        <v>162</v>
      </c>
      <c r="K15" s="74" t="s">
        <v>163</v>
      </c>
    </row>
    <row r="16" spans="1:13" x14ac:dyDescent="0.25">
      <c r="A16" t="s">
        <v>40</v>
      </c>
      <c r="B16" s="67">
        <v>8</v>
      </c>
      <c r="C16" s="67">
        <v>16</v>
      </c>
      <c r="D16" s="67">
        <v>6</v>
      </c>
      <c r="E16" s="67">
        <v>8</v>
      </c>
      <c r="F16" s="67">
        <v>38</v>
      </c>
      <c r="H16" s="74" t="s">
        <v>193</v>
      </c>
      <c r="I16" s="74" t="s">
        <v>194</v>
      </c>
      <c r="J16" s="74" t="s">
        <v>195</v>
      </c>
      <c r="K16" s="74" t="s">
        <v>196</v>
      </c>
    </row>
    <row r="17" spans="1:6" x14ac:dyDescent="0.25">
      <c r="B17"/>
      <c r="C17"/>
      <c r="D17"/>
      <c r="E17"/>
      <c r="F17"/>
    </row>
    <row r="18" spans="1:6" x14ac:dyDescent="0.25">
      <c r="B18"/>
      <c r="C18"/>
      <c r="D18"/>
      <c r="E18"/>
      <c r="F18"/>
    </row>
    <row r="19" spans="1:6" x14ac:dyDescent="0.25">
      <c r="A19" s="1" t="s">
        <v>47</v>
      </c>
      <c r="B19" s="65" t="s">
        <v>288</v>
      </c>
    </row>
    <row r="21" spans="1:6" x14ac:dyDescent="0.25">
      <c r="A21" s="1" t="s">
        <v>290</v>
      </c>
      <c r="C21"/>
      <c r="D21"/>
      <c r="E21"/>
      <c r="F21"/>
    </row>
    <row r="22" spans="1:6" x14ac:dyDescent="0.25">
      <c r="A22" s="1" t="s">
        <v>43</v>
      </c>
      <c r="B22" s="65" t="s">
        <v>289</v>
      </c>
      <c r="C22"/>
      <c r="D22"/>
      <c r="E22"/>
      <c r="F22"/>
    </row>
    <row r="23" spans="1:6" x14ac:dyDescent="0.25">
      <c r="A23" t="s">
        <v>166</v>
      </c>
      <c r="B23" s="126">
        <v>27000</v>
      </c>
      <c r="C23"/>
      <c r="D23"/>
      <c r="E23"/>
      <c r="F23"/>
    </row>
    <row r="24" spans="1:6" x14ac:dyDescent="0.25">
      <c r="A24" t="s">
        <v>172</v>
      </c>
      <c r="B24" s="126">
        <v>20500</v>
      </c>
      <c r="C24"/>
      <c r="D24"/>
      <c r="E24"/>
      <c r="F24"/>
    </row>
    <row r="25" spans="1:6" x14ac:dyDescent="0.25">
      <c r="A25" t="s">
        <v>95</v>
      </c>
      <c r="B25" s="126">
        <v>30000</v>
      </c>
      <c r="C25"/>
      <c r="D25"/>
      <c r="E25"/>
      <c r="F25"/>
    </row>
    <row r="26" spans="1:6" x14ac:dyDescent="0.25">
      <c r="A26" t="s">
        <v>170</v>
      </c>
      <c r="B26" s="126">
        <v>15600</v>
      </c>
      <c r="C26"/>
      <c r="D26"/>
      <c r="E26"/>
      <c r="F26"/>
    </row>
    <row r="27" spans="1:6" x14ac:dyDescent="0.25">
      <c r="A27" t="s">
        <v>44</v>
      </c>
      <c r="B27" s="126">
        <v>82060</v>
      </c>
      <c r="C27"/>
      <c r="D27"/>
      <c r="E27"/>
      <c r="F27"/>
    </row>
    <row r="28" spans="1:6" x14ac:dyDescent="0.25">
      <c r="A28" t="s">
        <v>42</v>
      </c>
      <c r="B28" s="126">
        <v>20500</v>
      </c>
      <c r="C28"/>
      <c r="D28"/>
      <c r="E28"/>
      <c r="F28"/>
    </row>
    <row r="29" spans="1:6" x14ac:dyDescent="0.25">
      <c r="A29" t="s">
        <v>168</v>
      </c>
      <c r="B29" s="126">
        <v>19500</v>
      </c>
      <c r="C29"/>
      <c r="D29"/>
      <c r="E29"/>
      <c r="F29"/>
    </row>
    <row r="30" spans="1:6" x14ac:dyDescent="0.25">
      <c r="A30" t="s">
        <v>164</v>
      </c>
      <c r="B30" s="126">
        <v>25000</v>
      </c>
      <c r="C30"/>
      <c r="D30"/>
      <c r="E30"/>
      <c r="F30"/>
    </row>
    <row r="31" spans="1:6" x14ac:dyDescent="0.25">
      <c r="A31" t="s">
        <v>45</v>
      </c>
      <c r="B31" s="126">
        <v>177171</v>
      </c>
      <c r="C31"/>
      <c r="D31"/>
      <c r="E31"/>
      <c r="F31"/>
    </row>
    <row r="32" spans="1:6" x14ac:dyDescent="0.25">
      <c r="A32" t="s">
        <v>40</v>
      </c>
      <c r="B32" s="126">
        <v>417331</v>
      </c>
      <c r="C32"/>
      <c r="D32"/>
      <c r="E32"/>
      <c r="F32"/>
    </row>
    <row r="33" spans="1:1" customFormat="1" x14ac:dyDescent="0.25"/>
    <row r="34" spans="1:1" customFormat="1" x14ac:dyDescent="0.25"/>
    <row r="35" spans="1:1" customFormat="1" x14ac:dyDescent="0.25"/>
    <row r="36" spans="1:1" customFormat="1" x14ac:dyDescent="0.25"/>
    <row r="37" spans="1:1" customFormat="1" x14ac:dyDescent="0.25">
      <c r="A37" t="s">
        <v>329</v>
      </c>
    </row>
    <row r="38" spans="1:1" customFormat="1" x14ac:dyDescent="0.25">
      <c r="A38" t="s">
        <v>330</v>
      </c>
    </row>
    <row r="39" spans="1:1" customFormat="1" x14ac:dyDescent="0.25">
      <c r="A39" t="s">
        <v>331</v>
      </c>
    </row>
    <row r="40" spans="1:1" customFormat="1" x14ac:dyDescent="0.25"/>
    <row r="41" spans="1:1" customFormat="1" x14ac:dyDescent="0.25"/>
    <row r="42" spans="1:1" customFormat="1" x14ac:dyDescent="0.25"/>
    <row r="43" spans="1:1" customFormat="1" x14ac:dyDescent="0.25"/>
    <row r="44" spans="1:1" customFormat="1" x14ac:dyDescent="0.25"/>
    <row r="45" spans="1:1" customFormat="1" x14ac:dyDescent="0.25"/>
    <row r="46" spans="1:1" customFormat="1" x14ac:dyDescent="0.25"/>
    <row r="47" spans="1:1" customFormat="1" x14ac:dyDescent="0.25"/>
  </sheetData>
  <autoFilter ref="A37:A39" xr:uid="{7299138C-3508-4CA0-9F01-EE4FC9F67D73}"/>
  <mergeCells count="2">
    <mergeCell ref="A1:F1"/>
    <mergeCell ref="H14:K14"/>
  </mergeCells>
  <pageMargins left="0.7" right="0.7" top="0.75" bottom="0.75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E64DD-85B4-4436-8109-5A0DE65BBDA6}">
  <sheetPr>
    <tabColor rgb="FFFFFF00"/>
  </sheetPr>
  <dimension ref="A1:BP51"/>
  <sheetViews>
    <sheetView showGridLines="0" tabSelected="1" zoomScale="98" zoomScaleNormal="98" workbookViewId="0">
      <pane xSplit="15" ySplit="3" topLeftCell="P4" activePane="bottomRight" state="frozen"/>
      <selection pane="topRight" activeCell="O1" sqref="O1"/>
      <selection pane="bottomLeft" activeCell="A4" sqref="A4"/>
      <selection pane="bottomRight" activeCell="F6" sqref="F6"/>
    </sheetView>
  </sheetViews>
  <sheetFormatPr baseColWidth="10" defaultRowHeight="15" x14ac:dyDescent="0.25"/>
  <cols>
    <col min="1" max="1" width="3" bestFit="1" customWidth="1"/>
    <col min="2" max="2" width="7.5703125" bestFit="1" customWidth="1"/>
    <col min="3" max="3" width="7.5703125" hidden="1" customWidth="1"/>
    <col min="4" max="5" width="7.5703125" style="65" customWidth="1"/>
    <col min="6" max="6" width="58.85546875" style="213" customWidth="1"/>
    <col min="7" max="7" width="2.7109375" style="65" bestFit="1" customWidth="1"/>
    <col min="8" max="8" width="7.5703125" style="65" customWidth="1"/>
    <col min="9" max="9" width="10.28515625" style="65" hidden="1" customWidth="1"/>
    <col min="10" max="10" width="9.5703125" style="65" bestFit="1" customWidth="1"/>
    <col min="11" max="15" width="3.28515625" style="192" customWidth="1"/>
    <col min="16" max="16" width="2.28515625" style="192" customWidth="1"/>
    <col min="17" max="17" width="2.7109375" style="192" customWidth="1"/>
    <col min="18" max="18" width="2.28515625" customWidth="1"/>
    <col min="19" max="19" width="2.28515625" style="207" customWidth="1"/>
    <col min="20" max="65" width="2.28515625" customWidth="1"/>
    <col min="66" max="67" width="14.140625" style="65" customWidth="1"/>
  </cols>
  <sheetData>
    <row r="1" spans="1:67" x14ac:dyDescent="0.25">
      <c r="K1" s="236" t="s">
        <v>416</v>
      </c>
      <c r="L1" s="236" t="s">
        <v>366</v>
      </c>
      <c r="M1" s="236" t="s">
        <v>365</v>
      </c>
      <c r="N1" s="236" t="s">
        <v>364</v>
      </c>
      <c r="O1" s="238" t="s">
        <v>405</v>
      </c>
      <c r="P1" s="239">
        <v>2021</v>
      </c>
      <c r="Q1" s="239"/>
      <c r="R1" s="226" t="s">
        <v>108</v>
      </c>
      <c r="S1" s="237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 t="s">
        <v>109</v>
      </c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 t="s">
        <v>110</v>
      </c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 t="s">
        <v>111</v>
      </c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</row>
    <row r="2" spans="1:67" x14ac:dyDescent="0.25">
      <c r="D2" s="226" t="s">
        <v>414</v>
      </c>
      <c r="E2" s="226"/>
      <c r="K2" s="236"/>
      <c r="L2" s="236"/>
      <c r="M2" s="236"/>
      <c r="N2" s="236"/>
      <c r="O2" s="238"/>
      <c r="P2" s="226" t="s">
        <v>380</v>
      </c>
      <c r="Q2" s="226"/>
      <c r="R2" s="226" t="s">
        <v>391</v>
      </c>
      <c r="S2" s="237"/>
      <c r="T2" s="226"/>
      <c r="U2" s="226"/>
      <c r="V2" s="226" t="s">
        <v>390</v>
      </c>
      <c r="W2" s="226"/>
      <c r="X2" s="226"/>
      <c r="Y2" s="226"/>
      <c r="Z2" s="226" t="s">
        <v>389</v>
      </c>
      <c r="AA2" s="226"/>
      <c r="AB2" s="226"/>
      <c r="AC2" s="226"/>
      <c r="AD2" s="226" t="s">
        <v>388</v>
      </c>
      <c r="AE2" s="226"/>
      <c r="AF2" s="226"/>
      <c r="AG2" s="226"/>
      <c r="AH2" s="226" t="s">
        <v>387</v>
      </c>
      <c r="AI2" s="226"/>
      <c r="AJ2" s="226"/>
      <c r="AK2" s="226"/>
      <c r="AL2" s="226" t="s">
        <v>386</v>
      </c>
      <c r="AM2" s="226"/>
      <c r="AN2" s="226"/>
      <c r="AO2" s="226"/>
      <c r="AP2" s="226" t="s">
        <v>385</v>
      </c>
      <c r="AQ2" s="226"/>
      <c r="AR2" s="226"/>
      <c r="AS2" s="226"/>
      <c r="AT2" s="226" t="s">
        <v>384</v>
      </c>
      <c r="AU2" s="226"/>
      <c r="AV2" s="226"/>
      <c r="AW2" s="226"/>
      <c r="AX2" s="226" t="s">
        <v>383</v>
      </c>
      <c r="AY2" s="226"/>
      <c r="AZ2" s="226"/>
      <c r="BA2" s="226"/>
      <c r="BB2" s="226" t="s">
        <v>382</v>
      </c>
      <c r="BC2" s="226"/>
      <c r="BD2" s="226"/>
      <c r="BE2" s="226"/>
      <c r="BF2" s="226" t="s">
        <v>381</v>
      </c>
      <c r="BG2" s="226"/>
      <c r="BH2" s="226"/>
      <c r="BI2" s="226"/>
      <c r="BJ2" s="226" t="s">
        <v>380</v>
      </c>
      <c r="BK2" s="226"/>
      <c r="BL2" s="226"/>
      <c r="BM2" s="226"/>
    </row>
    <row r="3" spans="1:67" s="65" customFormat="1" ht="15" customHeight="1" x14ac:dyDescent="0.25">
      <c r="A3" s="160" t="s">
        <v>402</v>
      </c>
      <c r="B3" s="160"/>
      <c r="C3" s="209"/>
      <c r="D3" s="160" t="s">
        <v>412</v>
      </c>
      <c r="E3" s="160" t="s">
        <v>413</v>
      </c>
      <c r="F3" s="210" t="s">
        <v>22</v>
      </c>
      <c r="G3" s="160"/>
      <c r="H3" s="160" t="s">
        <v>403</v>
      </c>
      <c r="I3" s="160"/>
      <c r="J3" s="160"/>
      <c r="K3" s="236"/>
      <c r="L3" s="236"/>
      <c r="M3" s="236"/>
      <c r="N3" s="236"/>
      <c r="O3" s="238"/>
      <c r="P3" s="208"/>
      <c r="Q3" s="208"/>
      <c r="R3" s="188">
        <v>1</v>
      </c>
      <c r="S3" s="205">
        <f>R3+1</f>
        <v>2</v>
      </c>
      <c r="T3" s="188">
        <f>S3+1</f>
        <v>3</v>
      </c>
      <c r="U3" s="188">
        <f>T3+1</f>
        <v>4</v>
      </c>
      <c r="V3" s="188">
        <v>1</v>
      </c>
      <c r="W3" s="188">
        <f>V3+1</f>
        <v>2</v>
      </c>
      <c r="X3" s="188">
        <f>W3+1</f>
        <v>3</v>
      </c>
      <c r="Y3" s="188">
        <f>X3+1</f>
        <v>4</v>
      </c>
      <c r="Z3" s="188">
        <v>1</v>
      </c>
      <c r="AA3" s="188">
        <f>Z3+1</f>
        <v>2</v>
      </c>
      <c r="AB3" s="188">
        <f>AA3+1</f>
        <v>3</v>
      </c>
      <c r="AC3" s="188">
        <f>AB3+1</f>
        <v>4</v>
      </c>
      <c r="AD3" s="188">
        <v>1</v>
      </c>
      <c r="AE3" s="188">
        <f>AD3+1</f>
        <v>2</v>
      </c>
      <c r="AF3" s="188">
        <f>AE3+1</f>
        <v>3</v>
      </c>
      <c r="AG3" s="188">
        <f>AF3+1</f>
        <v>4</v>
      </c>
      <c r="AH3" s="188">
        <v>1</v>
      </c>
      <c r="AI3" s="188">
        <f>AH3+1</f>
        <v>2</v>
      </c>
      <c r="AJ3" s="188">
        <f>AI3+1</f>
        <v>3</v>
      </c>
      <c r="AK3" s="188">
        <f>AJ3+1</f>
        <v>4</v>
      </c>
      <c r="AL3" s="188">
        <v>1</v>
      </c>
      <c r="AM3" s="188">
        <f>AL3+1</f>
        <v>2</v>
      </c>
      <c r="AN3" s="188">
        <f>AM3+1</f>
        <v>3</v>
      </c>
      <c r="AO3" s="188">
        <f>AN3+1</f>
        <v>4</v>
      </c>
      <c r="AP3" s="188">
        <v>1</v>
      </c>
      <c r="AQ3" s="188">
        <f>AP3+1</f>
        <v>2</v>
      </c>
      <c r="AR3" s="188">
        <f>AQ3+1</f>
        <v>3</v>
      </c>
      <c r="AS3" s="188">
        <f>AR3+1</f>
        <v>4</v>
      </c>
      <c r="AT3" s="188">
        <v>1</v>
      </c>
      <c r="AU3" s="188">
        <f>AT3+1</f>
        <v>2</v>
      </c>
      <c r="AV3" s="188">
        <f>AU3+1</f>
        <v>3</v>
      </c>
      <c r="AW3" s="188">
        <f>AV3+1</f>
        <v>4</v>
      </c>
      <c r="AX3" s="188">
        <v>1</v>
      </c>
      <c r="AY3" s="188">
        <f>AX3+1</f>
        <v>2</v>
      </c>
      <c r="AZ3" s="188">
        <f>AY3+1</f>
        <v>3</v>
      </c>
      <c r="BA3" s="188">
        <f>AZ3+1</f>
        <v>4</v>
      </c>
      <c r="BB3" s="188">
        <v>1</v>
      </c>
      <c r="BC3" s="188">
        <f>BB3+1</f>
        <v>2</v>
      </c>
      <c r="BD3" s="188">
        <f>BC3+1</f>
        <v>3</v>
      </c>
      <c r="BE3" s="188">
        <f>BD3+1</f>
        <v>4</v>
      </c>
      <c r="BF3" s="188">
        <v>1</v>
      </c>
      <c r="BG3" s="188">
        <f>BF3+1</f>
        <v>2</v>
      </c>
      <c r="BH3" s="188">
        <f>BG3+1</f>
        <v>3</v>
      </c>
      <c r="BI3" s="188">
        <f>BH3+1</f>
        <v>4</v>
      </c>
      <c r="BJ3" s="188">
        <v>1</v>
      </c>
      <c r="BK3" s="188">
        <f>BJ3+1</f>
        <v>2</v>
      </c>
      <c r="BL3" s="188">
        <f>BK3+1</f>
        <v>3</v>
      </c>
      <c r="BM3" s="188">
        <f>BL3+1</f>
        <v>4</v>
      </c>
      <c r="BN3" s="160" t="s">
        <v>392</v>
      </c>
      <c r="BO3" s="160" t="s">
        <v>401</v>
      </c>
    </row>
    <row r="4" spans="1:67" x14ac:dyDescent="0.25">
      <c r="A4" s="160">
        <v>1</v>
      </c>
      <c r="B4" s="194" t="s">
        <v>108</v>
      </c>
      <c r="C4" s="194" t="s">
        <v>419</v>
      </c>
      <c r="D4" s="197" t="s">
        <v>18</v>
      </c>
      <c r="E4" s="197"/>
      <c r="F4" s="194" t="s">
        <v>399</v>
      </c>
      <c r="G4" s="195" t="s">
        <v>163</v>
      </c>
      <c r="H4" s="195" t="s">
        <v>373</v>
      </c>
      <c r="I4" s="197" t="s">
        <v>41</v>
      </c>
      <c r="J4" s="195" t="s">
        <v>398</v>
      </c>
      <c r="K4" s="195"/>
      <c r="L4" s="195"/>
      <c r="M4" s="195">
        <v>16</v>
      </c>
      <c r="N4" s="195">
        <v>3</v>
      </c>
      <c r="O4" s="201">
        <v>4</v>
      </c>
      <c r="P4" s="189" t="s">
        <v>409</v>
      </c>
      <c r="Q4" s="189" t="s">
        <v>409</v>
      </c>
      <c r="R4" s="193" t="s">
        <v>409</v>
      </c>
      <c r="S4" s="200" t="s">
        <v>409</v>
      </c>
      <c r="T4" s="193" t="s">
        <v>409</v>
      </c>
      <c r="U4" s="193" t="s">
        <v>409</v>
      </c>
      <c r="V4" s="193" t="s">
        <v>409</v>
      </c>
      <c r="W4" s="193" t="s">
        <v>409</v>
      </c>
      <c r="X4" s="193" t="s">
        <v>409</v>
      </c>
      <c r="Y4" s="193" t="s">
        <v>409</v>
      </c>
      <c r="Z4" s="193" t="s">
        <v>409</v>
      </c>
      <c r="AA4" s="193" t="s">
        <v>409</v>
      </c>
      <c r="AB4" s="193" t="s">
        <v>409</v>
      </c>
      <c r="AC4" s="193" t="s">
        <v>409</v>
      </c>
      <c r="AD4" s="189" t="s">
        <v>409</v>
      </c>
      <c r="AE4" s="189" t="s">
        <v>409</v>
      </c>
      <c r="AF4" s="189" t="s">
        <v>410</v>
      </c>
      <c r="AG4" s="189" t="s">
        <v>410</v>
      </c>
      <c r="AH4" s="189" t="s">
        <v>410</v>
      </c>
      <c r="AI4" s="189"/>
      <c r="AJ4" s="189"/>
      <c r="AK4" s="189"/>
      <c r="AL4" s="189"/>
      <c r="AM4" s="189"/>
      <c r="AN4" s="189"/>
      <c r="AO4" s="189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60"/>
      <c r="BO4" s="160"/>
    </row>
    <row r="5" spans="1:67" x14ac:dyDescent="0.25">
      <c r="A5" s="160">
        <v>2</v>
      </c>
      <c r="B5" s="194" t="s">
        <v>108</v>
      </c>
      <c r="C5" s="194"/>
      <c r="D5" s="197" t="s">
        <v>295</v>
      </c>
      <c r="E5" s="197" t="s">
        <v>103</v>
      </c>
      <c r="F5" s="194" t="s">
        <v>117</v>
      </c>
      <c r="G5" s="197" t="s">
        <v>163</v>
      </c>
      <c r="H5" s="197" t="s">
        <v>378</v>
      </c>
      <c r="I5" s="197" t="s">
        <v>41</v>
      </c>
      <c r="J5" s="195" t="s">
        <v>398</v>
      </c>
      <c r="K5" s="195"/>
      <c r="L5" s="195">
        <v>4</v>
      </c>
      <c r="M5" s="195">
        <v>12</v>
      </c>
      <c r="N5" s="195">
        <v>4</v>
      </c>
      <c r="O5" s="201">
        <v>4</v>
      </c>
      <c r="P5" s="189" t="s">
        <v>411</v>
      </c>
      <c r="Q5" s="189" t="s">
        <v>411</v>
      </c>
      <c r="R5" s="193"/>
      <c r="S5" s="200"/>
      <c r="T5" s="193" t="s">
        <v>411</v>
      </c>
      <c r="U5" s="193" t="s">
        <v>411</v>
      </c>
      <c r="V5" s="193"/>
      <c r="W5" s="193" t="s">
        <v>409</v>
      </c>
      <c r="X5" s="193" t="s">
        <v>409</v>
      </c>
      <c r="Y5" s="193" t="s">
        <v>409</v>
      </c>
      <c r="Z5" s="193" t="s">
        <v>409</v>
      </c>
      <c r="AA5" s="193" t="s">
        <v>409</v>
      </c>
      <c r="AB5" s="193" t="s">
        <v>409</v>
      </c>
      <c r="AC5" s="193" t="s">
        <v>409</v>
      </c>
      <c r="AD5" s="189" t="s">
        <v>409</v>
      </c>
      <c r="AE5" s="189" t="s">
        <v>409</v>
      </c>
      <c r="AF5" s="189" t="s">
        <v>409</v>
      </c>
      <c r="AG5" s="189" t="s">
        <v>409</v>
      </c>
      <c r="AH5" s="189" t="s">
        <v>409</v>
      </c>
      <c r="AI5" s="189" t="s">
        <v>410</v>
      </c>
      <c r="AJ5" s="189" t="s">
        <v>410</v>
      </c>
      <c r="AK5" s="189" t="s">
        <v>410</v>
      </c>
      <c r="AL5" s="189" t="s">
        <v>410</v>
      </c>
      <c r="AM5" s="189"/>
      <c r="AN5" s="189"/>
      <c r="AO5" s="189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60"/>
      <c r="BO5" s="160"/>
    </row>
    <row r="6" spans="1:67" x14ac:dyDescent="0.25">
      <c r="A6" s="160">
        <v>3</v>
      </c>
      <c r="B6" s="194" t="s">
        <v>108</v>
      </c>
      <c r="C6" s="194"/>
      <c r="D6" s="197" t="s">
        <v>103</v>
      </c>
      <c r="E6" s="197" t="s">
        <v>406</v>
      </c>
      <c r="F6" s="194" t="s">
        <v>437</v>
      </c>
      <c r="G6" s="197" t="s">
        <v>162</v>
      </c>
      <c r="H6" s="197" t="s">
        <v>371</v>
      </c>
      <c r="I6" s="197" t="s">
        <v>41</v>
      </c>
      <c r="J6" s="195" t="s">
        <v>438</v>
      </c>
      <c r="K6" s="211">
        <v>4</v>
      </c>
      <c r="L6" s="211">
        <v>3</v>
      </c>
      <c r="M6" s="195">
        <v>6</v>
      </c>
      <c r="N6" s="195">
        <v>2</v>
      </c>
      <c r="O6" s="201">
        <v>2</v>
      </c>
      <c r="P6" s="189" t="s">
        <v>417</v>
      </c>
      <c r="Q6" s="189" t="s">
        <v>417</v>
      </c>
      <c r="R6" s="193" t="s">
        <v>417</v>
      </c>
      <c r="S6" s="200"/>
      <c r="T6" s="193" t="s">
        <v>417</v>
      </c>
      <c r="U6" s="193" t="s">
        <v>411</v>
      </c>
      <c r="V6" s="193" t="s">
        <v>411</v>
      </c>
      <c r="W6" s="193" t="s">
        <v>411</v>
      </c>
      <c r="X6" s="193" t="s">
        <v>409</v>
      </c>
      <c r="Y6" s="193" t="s">
        <v>409</v>
      </c>
      <c r="Z6" s="193" t="s">
        <v>409</v>
      </c>
      <c r="AA6" s="193" t="s">
        <v>409</v>
      </c>
      <c r="AB6" s="193" t="s">
        <v>409</v>
      </c>
      <c r="AC6" s="193" t="s">
        <v>409</v>
      </c>
      <c r="AD6" s="189" t="s">
        <v>410</v>
      </c>
      <c r="AE6" s="189" t="s">
        <v>410</v>
      </c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60"/>
      <c r="BO6" s="160"/>
    </row>
    <row r="7" spans="1:67" ht="15" customHeight="1" x14ac:dyDescent="0.25">
      <c r="A7" s="160">
        <v>4</v>
      </c>
      <c r="B7" s="194" t="s">
        <v>108</v>
      </c>
      <c r="C7" s="194"/>
      <c r="D7" s="197" t="s">
        <v>103</v>
      </c>
      <c r="E7" s="197"/>
      <c r="F7" s="196" t="s">
        <v>155</v>
      </c>
      <c r="G7" s="197" t="s">
        <v>162</v>
      </c>
      <c r="H7" s="197" t="s">
        <v>373</v>
      </c>
      <c r="I7" s="197" t="s">
        <v>41</v>
      </c>
      <c r="J7" s="195" t="s">
        <v>398</v>
      </c>
      <c r="K7" s="195"/>
      <c r="L7" s="195"/>
      <c r="M7" s="195">
        <v>6</v>
      </c>
      <c r="N7" s="195">
        <v>2</v>
      </c>
      <c r="O7" s="201">
        <v>2</v>
      </c>
      <c r="P7" s="189"/>
      <c r="Q7" s="189"/>
      <c r="R7" s="193" t="s">
        <v>409</v>
      </c>
      <c r="S7" s="200" t="s">
        <v>409</v>
      </c>
      <c r="T7" s="193" t="s">
        <v>409</v>
      </c>
      <c r="U7" s="193" t="s">
        <v>409</v>
      </c>
      <c r="V7" s="193" t="s">
        <v>409</v>
      </c>
      <c r="W7" s="193" t="s">
        <v>409</v>
      </c>
      <c r="X7" s="193" t="s">
        <v>410</v>
      </c>
      <c r="Y7" s="193" t="s">
        <v>410</v>
      </c>
      <c r="Z7" s="193"/>
      <c r="AA7" s="193"/>
      <c r="AB7" s="193"/>
      <c r="AC7" s="193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60" t="s">
        <v>394</v>
      </c>
      <c r="BO7" s="160" t="s">
        <v>393</v>
      </c>
    </row>
    <row r="8" spans="1:67" x14ac:dyDescent="0.25">
      <c r="A8" s="160">
        <v>5</v>
      </c>
      <c r="B8" s="194" t="s">
        <v>108</v>
      </c>
      <c r="C8" s="194"/>
      <c r="D8" s="197" t="s">
        <v>103</v>
      </c>
      <c r="E8" s="197" t="s">
        <v>295</v>
      </c>
      <c r="F8" s="196" t="s">
        <v>328</v>
      </c>
      <c r="G8" s="197" t="s">
        <v>162</v>
      </c>
      <c r="H8" s="197" t="s">
        <v>370</v>
      </c>
      <c r="I8" s="197" t="s">
        <v>41</v>
      </c>
      <c r="J8" s="195" t="s">
        <v>398</v>
      </c>
      <c r="K8" s="195"/>
      <c r="L8" s="195">
        <v>3</v>
      </c>
      <c r="M8" s="195">
        <v>6</v>
      </c>
      <c r="N8" s="195">
        <v>3</v>
      </c>
      <c r="O8" s="201">
        <v>2</v>
      </c>
      <c r="P8" s="189"/>
      <c r="Q8" s="189" t="s">
        <v>411</v>
      </c>
      <c r="R8" s="193"/>
      <c r="S8" s="200"/>
      <c r="T8" s="193" t="s">
        <v>411</v>
      </c>
      <c r="U8" s="193" t="s">
        <v>409</v>
      </c>
      <c r="V8" s="193" t="s">
        <v>409</v>
      </c>
      <c r="W8" s="193" t="s">
        <v>409</v>
      </c>
      <c r="X8" s="193" t="s">
        <v>409</v>
      </c>
      <c r="Y8" s="193" t="s">
        <v>409</v>
      </c>
      <c r="Z8" s="193" t="s">
        <v>409</v>
      </c>
      <c r="AA8" s="193" t="s">
        <v>410</v>
      </c>
      <c r="AB8" s="193" t="s">
        <v>410</v>
      </c>
      <c r="AC8" s="193" t="s">
        <v>410</v>
      </c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60"/>
      <c r="BO8" s="160"/>
    </row>
    <row r="9" spans="1:67" x14ac:dyDescent="0.25">
      <c r="A9" s="160">
        <v>6</v>
      </c>
      <c r="B9" s="194" t="s">
        <v>108</v>
      </c>
      <c r="C9" s="194"/>
      <c r="D9" s="197" t="s">
        <v>103</v>
      </c>
      <c r="E9" s="197"/>
      <c r="F9" s="196" t="s">
        <v>145</v>
      </c>
      <c r="G9" s="197" t="s">
        <v>161</v>
      </c>
      <c r="H9" s="197" t="s">
        <v>371</v>
      </c>
      <c r="I9" s="197" t="s">
        <v>41</v>
      </c>
      <c r="J9" s="195" t="s">
        <v>438</v>
      </c>
      <c r="K9" s="211">
        <v>1</v>
      </c>
      <c r="L9" s="211">
        <v>2</v>
      </c>
      <c r="M9" s="195">
        <v>2</v>
      </c>
      <c r="N9" s="195">
        <v>2</v>
      </c>
      <c r="O9" s="201">
        <v>1</v>
      </c>
      <c r="P9" s="189" t="s">
        <v>417</v>
      </c>
      <c r="Q9" s="189" t="s">
        <v>411</v>
      </c>
      <c r="R9" s="193" t="s">
        <v>411</v>
      </c>
      <c r="S9" s="200"/>
      <c r="T9" s="193" t="s">
        <v>409</v>
      </c>
      <c r="U9" s="193" t="s">
        <v>409</v>
      </c>
      <c r="V9" s="193" t="s">
        <v>410</v>
      </c>
      <c r="W9" s="193" t="s">
        <v>410</v>
      </c>
      <c r="X9" s="193"/>
      <c r="Y9" s="193"/>
      <c r="Z9" s="193"/>
      <c r="AA9" s="193"/>
      <c r="AB9" s="193"/>
      <c r="AC9" s="193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60"/>
      <c r="BO9" s="160"/>
    </row>
    <row r="10" spans="1:67" x14ac:dyDescent="0.25">
      <c r="A10" s="160">
        <v>7</v>
      </c>
      <c r="B10" s="194" t="s">
        <v>108</v>
      </c>
      <c r="C10" s="194" t="s">
        <v>419</v>
      </c>
      <c r="D10" s="197" t="s">
        <v>18</v>
      </c>
      <c r="E10" s="197"/>
      <c r="F10" s="196" t="s">
        <v>400</v>
      </c>
      <c r="G10" s="195" t="s">
        <v>161</v>
      </c>
      <c r="H10" s="195" t="s">
        <v>45</v>
      </c>
      <c r="I10" s="195" t="s">
        <v>41</v>
      </c>
      <c r="J10" s="197" t="s">
        <v>395</v>
      </c>
      <c r="K10" s="195"/>
      <c r="L10" s="195">
        <v>2</v>
      </c>
      <c r="M10" s="195">
        <v>2</v>
      </c>
      <c r="N10" s="195">
        <v>2</v>
      </c>
      <c r="O10" s="201"/>
      <c r="P10" s="189"/>
      <c r="Q10" s="189"/>
      <c r="R10" s="193"/>
      <c r="S10" s="200"/>
      <c r="T10" s="193"/>
      <c r="U10" s="193" t="s">
        <v>411</v>
      </c>
      <c r="V10" s="193" t="s">
        <v>411</v>
      </c>
      <c r="W10" s="193" t="s">
        <v>409</v>
      </c>
      <c r="X10" s="193" t="s">
        <v>409</v>
      </c>
      <c r="Y10" s="193" t="s">
        <v>410</v>
      </c>
      <c r="Z10" s="193" t="s">
        <v>410</v>
      </c>
      <c r="AA10" s="193"/>
      <c r="AB10" s="193"/>
      <c r="AC10" s="193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60"/>
      <c r="BO10" s="160"/>
    </row>
    <row r="11" spans="1:67" x14ac:dyDescent="0.25">
      <c r="A11" s="160">
        <v>8</v>
      </c>
      <c r="B11" s="196" t="s">
        <v>108</v>
      </c>
      <c r="C11" s="196" t="s">
        <v>418</v>
      </c>
      <c r="D11" s="195"/>
      <c r="E11" s="195"/>
      <c r="F11" s="196" t="s">
        <v>347</v>
      </c>
      <c r="G11" s="195" t="s">
        <v>161</v>
      </c>
      <c r="H11" s="195" t="s">
        <v>45</v>
      </c>
      <c r="I11" s="195" t="s">
        <v>41</v>
      </c>
      <c r="J11" s="197" t="s">
        <v>395</v>
      </c>
      <c r="K11" s="195"/>
      <c r="L11" s="195"/>
      <c r="M11" s="195"/>
      <c r="N11" s="195"/>
      <c r="O11" s="201"/>
      <c r="P11" s="189"/>
      <c r="Q11" s="189"/>
      <c r="R11" s="193"/>
      <c r="S11" s="200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60"/>
      <c r="BO11" s="160"/>
    </row>
    <row r="12" spans="1:67" x14ac:dyDescent="0.25">
      <c r="A12" s="160">
        <v>9</v>
      </c>
      <c r="B12" s="194" t="s">
        <v>108</v>
      </c>
      <c r="C12" s="194" t="s">
        <v>418</v>
      </c>
      <c r="D12" s="197"/>
      <c r="E12" s="197"/>
      <c r="F12" s="196" t="s">
        <v>349</v>
      </c>
      <c r="G12" s="197" t="s">
        <v>161</v>
      </c>
      <c r="H12" s="197" t="s">
        <v>45</v>
      </c>
      <c r="I12" s="197" t="s">
        <v>41</v>
      </c>
      <c r="J12" s="197" t="s">
        <v>395</v>
      </c>
      <c r="K12" s="197"/>
      <c r="L12" s="197"/>
      <c r="M12" s="197"/>
      <c r="N12" s="197"/>
      <c r="O12" s="202"/>
      <c r="P12" s="189"/>
      <c r="Q12" s="189"/>
      <c r="R12" s="193"/>
      <c r="S12" s="200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60"/>
      <c r="BO12" s="160"/>
    </row>
    <row r="13" spans="1:67" x14ac:dyDescent="0.25">
      <c r="A13" s="160">
        <v>10</v>
      </c>
      <c r="B13" s="190" t="s">
        <v>109</v>
      </c>
      <c r="C13" s="190"/>
      <c r="D13" s="189" t="s">
        <v>103</v>
      </c>
      <c r="E13" s="189"/>
      <c r="F13" s="212" t="s">
        <v>92</v>
      </c>
      <c r="G13" s="189" t="s">
        <v>163</v>
      </c>
      <c r="H13" s="189" t="s">
        <v>373</v>
      </c>
      <c r="I13" s="189" t="s">
        <v>41</v>
      </c>
      <c r="J13" s="191" t="s">
        <v>398</v>
      </c>
      <c r="K13" s="191">
        <v>4</v>
      </c>
      <c r="L13" s="191">
        <v>6</v>
      </c>
      <c r="M13" s="191">
        <v>10</v>
      </c>
      <c r="N13" s="191">
        <v>3</v>
      </c>
      <c r="O13" s="203">
        <v>4</v>
      </c>
      <c r="P13" s="189"/>
      <c r="Q13" s="189"/>
      <c r="R13" s="193"/>
      <c r="S13" s="200"/>
      <c r="T13" s="193"/>
      <c r="U13" s="193"/>
      <c r="V13" s="193" t="s">
        <v>411</v>
      </c>
      <c r="W13" s="193" t="s">
        <v>411</v>
      </c>
      <c r="X13" s="193" t="s">
        <v>411</v>
      </c>
      <c r="Y13" s="193" t="s">
        <v>411</v>
      </c>
      <c r="Z13" s="193" t="s">
        <v>411</v>
      </c>
      <c r="AA13" s="193" t="s">
        <v>411</v>
      </c>
      <c r="AB13" s="193" t="s">
        <v>409</v>
      </c>
      <c r="AC13" s="193" t="s">
        <v>409</v>
      </c>
      <c r="AD13" s="189" t="s">
        <v>409</v>
      </c>
      <c r="AE13" s="189" t="s">
        <v>409</v>
      </c>
      <c r="AF13" s="189" t="s">
        <v>409</v>
      </c>
      <c r="AG13" s="189" t="s">
        <v>409</v>
      </c>
      <c r="AH13" s="189" t="s">
        <v>409</v>
      </c>
      <c r="AI13" s="189" t="s">
        <v>409</v>
      </c>
      <c r="AJ13" s="189" t="s">
        <v>409</v>
      </c>
      <c r="AK13" s="189" t="s">
        <v>409</v>
      </c>
      <c r="AL13" s="189" t="s">
        <v>410</v>
      </c>
      <c r="AM13" s="189" t="s">
        <v>410</v>
      </c>
      <c r="AN13" s="189" t="s">
        <v>410</v>
      </c>
      <c r="AO13" s="189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60"/>
      <c r="BO13" s="160"/>
    </row>
    <row r="14" spans="1:67" x14ac:dyDescent="0.25">
      <c r="A14" s="160">
        <v>11</v>
      </c>
      <c r="B14" s="190" t="s">
        <v>109</v>
      </c>
      <c r="C14" s="190"/>
      <c r="D14" s="189" t="s">
        <v>130</v>
      </c>
      <c r="E14" s="189"/>
      <c r="F14" s="212" t="s">
        <v>54</v>
      </c>
      <c r="G14" s="189" t="s">
        <v>163</v>
      </c>
      <c r="H14" s="189" t="s">
        <v>374</v>
      </c>
      <c r="I14" s="189" t="s">
        <v>41</v>
      </c>
      <c r="J14" s="191" t="s">
        <v>398</v>
      </c>
      <c r="K14" s="191">
        <v>4</v>
      </c>
      <c r="L14" s="191">
        <v>6</v>
      </c>
      <c r="M14" s="191">
        <v>10</v>
      </c>
      <c r="N14" s="191">
        <v>3</v>
      </c>
      <c r="O14" s="203">
        <v>4</v>
      </c>
      <c r="P14" s="189"/>
      <c r="Q14" s="189"/>
      <c r="R14" s="193"/>
      <c r="S14" s="200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60"/>
      <c r="BO14" s="160"/>
    </row>
    <row r="15" spans="1:67" x14ac:dyDescent="0.25">
      <c r="A15" s="160">
        <v>12</v>
      </c>
      <c r="B15" s="190" t="s">
        <v>109</v>
      </c>
      <c r="C15" s="190"/>
      <c r="D15" s="189" t="s">
        <v>18</v>
      </c>
      <c r="E15" s="189"/>
      <c r="F15" s="212" t="s">
        <v>113</v>
      </c>
      <c r="G15" s="189" t="s">
        <v>162</v>
      </c>
      <c r="H15" s="189" t="s">
        <v>373</v>
      </c>
      <c r="I15" s="189" t="s">
        <v>41</v>
      </c>
      <c r="J15" s="191" t="s">
        <v>398</v>
      </c>
      <c r="K15" s="191"/>
      <c r="L15" s="191">
        <v>3</v>
      </c>
      <c r="M15" s="191">
        <v>6</v>
      </c>
      <c r="N15" s="191">
        <v>2</v>
      </c>
      <c r="O15" s="203">
        <v>2</v>
      </c>
      <c r="P15" s="189"/>
      <c r="Q15" s="189"/>
      <c r="R15" s="193" t="s">
        <v>411</v>
      </c>
      <c r="S15" s="200" t="s">
        <v>411</v>
      </c>
      <c r="T15" s="193" t="s">
        <v>411</v>
      </c>
      <c r="U15" s="193"/>
      <c r="V15" s="193"/>
      <c r="W15" s="193"/>
      <c r="X15" s="193"/>
      <c r="Y15" s="193"/>
      <c r="Z15" s="193"/>
      <c r="AA15" s="193"/>
      <c r="AB15" s="193"/>
      <c r="AC15" s="193"/>
      <c r="AD15" s="189" t="s">
        <v>409</v>
      </c>
      <c r="AE15" s="189" t="s">
        <v>409</v>
      </c>
      <c r="AF15" s="189" t="s">
        <v>409</v>
      </c>
      <c r="AG15" s="189" t="s">
        <v>409</v>
      </c>
      <c r="AH15" s="189" t="s">
        <v>409</v>
      </c>
      <c r="AI15" s="189" t="s">
        <v>409</v>
      </c>
      <c r="AJ15" s="189" t="s">
        <v>410</v>
      </c>
      <c r="AK15" s="189" t="s">
        <v>410</v>
      </c>
      <c r="AL15" s="189"/>
      <c r="AM15" s="189"/>
      <c r="AN15" s="189"/>
      <c r="AO15" s="189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60"/>
      <c r="BO15" s="160"/>
    </row>
    <row r="16" spans="1:67" ht="30" x14ac:dyDescent="0.25">
      <c r="A16" s="160">
        <v>13</v>
      </c>
      <c r="B16" s="190" t="s">
        <v>109</v>
      </c>
      <c r="C16" s="190"/>
      <c r="D16" s="189" t="s">
        <v>103</v>
      </c>
      <c r="E16" s="189"/>
      <c r="F16" s="212" t="s">
        <v>184</v>
      </c>
      <c r="G16" s="189" t="s">
        <v>162</v>
      </c>
      <c r="H16" s="189" t="s">
        <v>170</v>
      </c>
      <c r="I16" s="189" t="s">
        <v>41</v>
      </c>
      <c r="J16" s="191" t="s">
        <v>398</v>
      </c>
      <c r="K16" s="191">
        <v>2</v>
      </c>
      <c r="L16" s="191">
        <v>4</v>
      </c>
      <c r="M16" s="191">
        <v>8</v>
      </c>
      <c r="N16" s="191">
        <v>3</v>
      </c>
      <c r="O16" s="203">
        <v>2</v>
      </c>
      <c r="P16" s="189"/>
      <c r="Q16" s="189"/>
      <c r="R16" s="193"/>
      <c r="S16" s="200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89" t="s">
        <v>411</v>
      </c>
      <c r="AE16" s="189" t="s">
        <v>411</v>
      </c>
      <c r="AF16" s="189" t="s">
        <v>411</v>
      </c>
      <c r="AG16" s="189" t="s">
        <v>411</v>
      </c>
      <c r="AH16" s="189" t="s">
        <v>409</v>
      </c>
      <c r="AI16" s="189" t="s">
        <v>409</v>
      </c>
      <c r="AJ16" s="189" t="s">
        <v>409</v>
      </c>
      <c r="AK16" s="189" t="s">
        <v>409</v>
      </c>
      <c r="AL16" s="189" t="s">
        <v>409</v>
      </c>
      <c r="AM16" s="189" t="s">
        <v>409</v>
      </c>
      <c r="AN16" s="189" t="s">
        <v>409</v>
      </c>
      <c r="AO16" s="189" t="s">
        <v>409</v>
      </c>
      <c r="AP16" s="193" t="s">
        <v>410</v>
      </c>
      <c r="AQ16" s="193" t="s">
        <v>410</v>
      </c>
      <c r="AR16" s="193" t="s">
        <v>410</v>
      </c>
      <c r="AS16" s="193"/>
      <c r="AT16" s="193"/>
      <c r="AU16" s="193"/>
      <c r="AV16" s="193"/>
      <c r="AW16" s="193"/>
      <c r="AX16" s="193"/>
      <c r="AY16" s="193"/>
      <c r="AZ16" s="193"/>
      <c r="BA16" s="193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60"/>
      <c r="BO16" s="160"/>
    </row>
    <row r="17" spans="1:67" x14ac:dyDescent="0.25">
      <c r="A17" s="160">
        <v>14</v>
      </c>
      <c r="B17" s="190" t="s">
        <v>109</v>
      </c>
      <c r="C17" s="190"/>
      <c r="D17" s="189"/>
      <c r="E17" s="189"/>
      <c r="F17" s="212" t="s">
        <v>176</v>
      </c>
      <c r="G17" s="189" t="s">
        <v>161</v>
      </c>
      <c r="H17" s="189" t="s">
        <v>373</v>
      </c>
      <c r="I17" s="189" t="s">
        <v>41</v>
      </c>
      <c r="J17" s="191" t="s">
        <v>398</v>
      </c>
      <c r="K17" s="191">
        <v>1</v>
      </c>
      <c r="L17" s="191">
        <v>2</v>
      </c>
      <c r="M17" s="191">
        <v>2</v>
      </c>
      <c r="N17" s="191">
        <v>2</v>
      </c>
      <c r="O17" s="203">
        <v>1</v>
      </c>
      <c r="P17" s="189"/>
      <c r="Q17" s="189"/>
      <c r="R17" s="193"/>
      <c r="S17" s="200"/>
      <c r="T17" s="193"/>
      <c r="U17" s="198"/>
      <c r="V17" s="198"/>
      <c r="W17" s="198"/>
      <c r="X17" s="198"/>
      <c r="Y17" s="198"/>
      <c r="Z17" s="198"/>
      <c r="AA17" s="198"/>
      <c r="AB17" s="198"/>
      <c r="AC17" s="198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60"/>
      <c r="BO17" s="160"/>
    </row>
    <row r="18" spans="1:67" x14ac:dyDescent="0.25">
      <c r="A18" s="160">
        <v>15</v>
      </c>
      <c r="B18" s="190" t="s">
        <v>109</v>
      </c>
      <c r="C18" s="190"/>
      <c r="D18" s="189" t="s">
        <v>103</v>
      </c>
      <c r="E18" s="189" t="s">
        <v>407</v>
      </c>
      <c r="F18" s="212" t="s">
        <v>178</v>
      </c>
      <c r="G18" s="189" t="s">
        <v>161</v>
      </c>
      <c r="H18" s="189" t="s">
        <v>170</v>
      </c>
      <c r="I18" s="189" t="s">
        <v>41</v>
      </c>
      <c r="J18" s="191" t="s">
        <v>398</v>
      </c>
      <c r="K18" s="191">
        <v>1</v>
      </c>
      <c r="L18" s="191">
        <v>2</v>
      </c>
      <c r="M18" s="191">
        <v>2</v>
      </c>
      <c r="N18" s="191">
        <v>2</v>
      </c>
      <c r="O18" s="203">
        <v>1</v>
      </c>
      <c r="P18" s="189"/>
      <c r="Q18" s="189"/>
      <c r="R18" s="193"/>
      <c r="S18" s="200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89"/>
      <c r="AE18" s="189"/>
      <c r="AF18" s="189"/>
      <c r="AG18" s="189"/>
      <c r="AH18" s="189"/>
      <c r="AI18" s="189"/>
      <c r="AJ18" s="189"/>
      <c r="AK18" s="189"/>
      <c r="AL18" s="189" t="s">
        <v>409</v>
      </c>
      <c r="AM18" s="189" t="s">
        <v>409</v>
      </c>
      <c r="AN18" s="189" t="s">
        <v>410</v>
      </c>
      <c r="AO18" s="189" t="s">
        <v>410</v>
      </c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60"/>
      <c r="BO18" s="160"/>
    </row>
    <row r="19" spans="1:67" ht="30" x14ac:dyDescent="0.25">
      <c r="A19" s="160">
        <v>16</v>
      </c>
      <c r="B19" s="190" t="s">
        <v>109</v>
      </c>
      <c r="C19" s="190"/>
      <c r="D19" s="189" t="s">
        <v>103</v>
      </c>
      <c r="E19" s="189"/>
      <c r="F19" s="212" t="s">
        <v>326</v>
      </c>
      <c r="G19" s="189" t="s">
        <v>162</v>
      </c>
      <c r="H19" s="189" t="s">
        <v>404</v>
      </c>
      <c r="I19" s="189" t="s">
        <v>41</v>
      </c>
      <c r="J19" s="189" t="s">
        <v>397</v>
      </c>
      <c r="K19" s="189"/>
      <c r="L19" s="191">
        <v>4</v>
      </c>
      <c r="M19" s="191">
        <v>8</v>
      </c>
      <c r="N19" s="191">
        <v>3</v>
      </c>
      <c r="O19" s="204"/>
      <c r="P19" s="189"/>
      <c r="Q19" s="189"/>
      <c r="R19" s="193"/>
      <c r="S19" s="200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89" t="s">
        <v>411</v>
      </c>
      <c r="AE19" s="189" t="s">
        <v>411</v>
      </c>
      <c r="AF19" s="189" t="s">
        <v>411</v>
      </c>
      <c r="AG19" s="189" t="s">
        <v>411</v>
      </c>
      <c r="AH19" s="189" t="s">
        <v>409</v>
      </c>
      <c r="AI19" s="189" t="s">
        <v>409</v>
      </c>
      <c r="AJ19" s="189" t="s">
        <v>409</v>
      </c>
      <c r="AK19" s="189" t="s">
        <v>409</v>
      </c>
      <c r="AL19" s="189" t="s">
        <v>409</v>
      </c>
      <c r="AM19" s="189" t="s">
        <v>409</v>
      </c>
      <c r="AN19" s="189" t="s">
        <v>409</v>
      </c>
      <c r="AO19" s="189" t="s">
        <v>409</v>
      </c>
      <c r="AP19" s="193" t="s">
        <v>410</v>
      </c>
      <c r="AQ19" s="193" t="s">
        <v>410</v>
      </c>
      <c r="AR19" s="193" t="s">
        <v>410</v>
      </c>
      <c r="AS19" s="193"/>
      <c r="AT19" s="193"/>
      <c r="AU19" s="193"/>
      <c r="AV19" s="193"/>
      <c r="AW19" s="193"/>
      <c r="AX19" s="193"/>
      <c r="AY19" s="193"/>
      <c r="AZ19" s="193"/>
      <c r="BA19" s="193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60"/>
      <c r="BO19" s="160"/>
    </row>
    <row r="20" spans="1:67" x14ac:dyDescent="0.25">
      <c r="A20" s="160">
        <v>17</v>
      </c>
      <c r="B20" s="190" t="s">
        <v>109</v>
      </c>
      <c r="C20" s="190"/>
      <c r="D20" s="189" t="s">
        <v>103</v>
      </c>
      <c r="E20" s="189"/>
      <c r="F20" s="212" t="s">
        <v>124</v>
      </c>
      <c r="G20" s="189" t="s">
        <v>162</v>
      </c>
      <c r="H20" s="189" t="s">
        <v>404</v>
      </c>
      <c r="I20" s="189" t="s">
        <v>41</v>
      </c>
      <c r="J20" s="189" t="s">
        <v>397</v>
      </c>
      <c r="K20" s="189"/>
      <c r="L20" s="189">
        <v>3</v>
      </c>
      <c r="M20" s="189">
        <v>4</v>
      </c>
      <c r="N20" s="189">
        <v>2</v>
      </c>
      <c r="O20" s="204"/>
      <c r="P20" s="189"/>
      <c r="Q20" s="189"/>
      <c r="R20" s="193"/>
      <c r="S20" s="200"/>
      <c r="T20" s="193"/>
      <c r="U20" s="193"/>
      <c r="V20" s="193"/>
      <c r="W20" s="193"/>
      <c r="X20" s="193"/>
      <c r="Y20" s="193"/>
      <c r="Z20" s="193"/>
      <c r="AA20" s="193" t="s">
        <v>411</v>
      </c>
      <c r="AB20" s="193" t="s">
        <v>411</v>
      </c>
      <c r="AC20" s="193" t="s">
        <v>411</v>
      </c>
      <c r="AD20" s="189" t="s">
        <v>409</v>
      </c>
      <c r="AE20" s="189" t="s">
        <v>409</v>
      </c>
      <c r="AF20" s="189" t="s">
        <v>409</v>
      </c>
      <c r="AG20" s="189" t="s">
        <v>409</v>
      </c>
      <c r="AH20" s="189" t="s">
        <v>410</v>
      </c>
      <c r="AI20" s="189" t="s">
        <v>410</v>
      </c>
      <c r="AJ20" s="189"/>
      <c r="AK20" s="189"/>
      <c r="AL20" s="189"/>
      <c r="AM20" s="189"/>
      <c r="AN20" s="189"/>
      <c r="AO20" s="189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60"/>
      <c r="BO20" s="160"/>
    </row>
    <row r="21" spans="1:67" ht="15" customHeight="1" x14ac:dyDescent="0.25">
      <c r="A21" s="160">
        <v>18</v>
      </c>
      <c r="B21" s="190" t="s">
        <v>109</v>
      </c>
      <c r="C21" s="190"/>
      <c r="D21" s="189"/>
      <c r="E21" s="189"/>
      <c r="F21" s="212" t="s">
        <v>99</v>
      </c>
      <c r="G21" s="189" t="s">
        <v>162</v>
      </c>
      <c r="H21" s="189" t="s">
        <v>45</v>
      </c>
      <c r="I21" s="189" t="s">
        <v>41</v>
      </c>
      <c r="J21" s="189" t="s">
        <v>395</v>
      </c>
      <c r="K21" s="189">
        <v>2</v>
      </c>
      <c r="L21" s="189">
        <v>3</v>
      </c>
      <c r="M21" s="189">
        <v>8</v>
      </c>
      <c r="N21" s="189">
        <v>2</v>
      </c>
      <c r="O21" s="204">
        <v>2</v>
      </c>
      <c r="P21" s="204"/>
      <c r="Q21" s="204"/>
      <c r="R21" s="193"/>
      <c r="S21" s="200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60"/>
      <c r="BO21" s="160"/>
    </row>
    <row r="22" spans="1:67" x14ac:dyDescent="0.25">
      <c r="A22" s="160">
        <v>19</v>
      </c>
      <c r="B22" s="190" t="s">
        <v>109</v>
      </c>
      <c r="C22" s="190"/>
      <c r="D22" s="189"/>
      <c r="E22" s="189"/>
      <c r="F22" s="212" t="s">
        <v>177</v>
      </c>
      <c r="G22" s="189" t="s">
        <v>162</v>
      </c>
      <c r="H22" s="189" t="s">
        <v>45</v>
      </c>
      <c r="I22" s="189" t="s">
        <v>41</v>
      </c>
      <c r="J22" s="189" t="s">
        <v>395</v>
      </c>
      <c r="K22" s="189">
        <v>2</v>
      </c>
      <c r="L22" s="189">
        <v>3</v>
      </c>
      <c r="M22" s="189">
        <v>8</v>
      </c>
      <c r="N22" s="189">
        <v>2</v>
      </c>
      <c r="O22" s="204">
        <v>2</v>
      </c>
      <c r="P22" s="204"/>
      <c r="Q22" s="204"/>
      <c r="R22" s="193"/>
      <c r="S22" s="200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60"/>
      <c r="BO22" s="160"/>
    </row>
    <row r="23" spans="1:67" x14ac:dyDescent="0.25">
      <c r="A23" s="160">
        <v>20</v>
      </c>
      <c r="B23" s="190" t="s">
        <v>109</v>
      </c>
      <c r="C23" s="190"/>
      <c r="D23" s="189"/>
      <c r="E23" s="189"/>
      <c r="F23" s="212" t="s">
        <v>138</v>
      </c>
      <c r="G23" s="189" t="s">
        <v>162</v>
      </c>
      <c r="H23" s="189" t="s">
        <v>45</v>
      </c>
      <c r="I23" s="189" t="s">
        <v>41</v>
      </c>
      <c r="J23" s="189" t="s">
        <v>395</v>
      </c>
      <c r="K23" s="189"/>
      <c r="L23" s="189"/>
      <c r="M23" s="189"/>
      <c r="N23" s="189"/>
      <c r="O23" s="204"/>
      <c r="P23" s="204"/>
      <c r="Q23" s="204"/>
      <c r="R23" s="193"/>
      <c r="S23" s="200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60"/>
      <c r="BO23" s="160"/>
    </row>
    <row r="24" spans="1:67" x14ac:dyDescent="0.25">
      <c r="A24" s="160">
        <v>21</v>
      </c>
      <c r="B24" s="190" t="s">
        <v>109</v>
      </c>
      <c r="C24" s="190"/>
      <c r="D24" s="189"/>
      <c r="E24" s="189"/>
      <c r="F24" s="212" t="s">
        <v>139</v>
      </c>
      <c r="G24" s="189" t="s">
        <v>162</v>
      </c>
      <c r="H24" s="189" t="s">
        <v>45</v>
      </c>
      <c r="I24" s="189" t="s">
        <v>41</v>
      </c>
      <c r="J24" s="189" t="s">
        <v>395</v>
      </c>
      <c r="K24" s="189"/>
      <c r="L24" s="189"/>
      <c r="M24" s="189"/>
      <c r="N24" s="189"/>
      <c r="O24" s="204"/>
      <c r="P24" s="204"/>
      <c r="Q24" s="204"/>
      <c r="R24" s="193"/>
      <c r="S24" s="200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60"/>
      <c r="BO24" s="160"/>
    </row>
    <row r="25" spans="1:67" x14ac:dyDescent="0.25">
      <c r="A25" s="160">
        <v>22</v>
      </c>
      <c r="B25" s="190" t="s">
        <v>109</v>
      </c>
      <c r="C25" s="190"/>
      <c r="D25" s="189"/>
      <c r="E25" s="189"/>
      <c r="F25" s="212" t="s">
        <v>347</v>
      </c>
      <c r="G25" s="189" t="s">
        <v>161</v>
      </c>
      <c r="H25" s="189" t="s">
        <v>45</v>
      </c>
      <c r="I25" s="189" t="s">
        <v>41</v>
      </c>
      <c r="J25" s="189" t="s">
        <v>395</v>
      </c>
      <c r="K25" s="189"/>
      <c r="L25" s="189"/>
      <c r="M25" s="189"/>
      <c r="N25" s="189"/>
      <c r="O25" s="204"/>
      <c r="P25" s="204"/>
      <c r="Q25" s="204"/>
      <c r="R25" s="193"/>
      <c r="S25" s="200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60"/>
      <c r="BO25" s="160"/>
    </row>
    <row r="26" spans="1:67" x14ac:dyDescent="0.25">
      <c r="A26" s="160">
        <v>23</v>
      </c>
      <c r="B26" s="190" t="s">
        <v>109</v>
      </c>
      <c r="C26" s="190"/>
      <c r="D26" s="189"/>
      <c r="E26" s="189"/>
      <c r="F26" s="212" t="s">
        <v>347</v>
      </c>
      <c r="G26" s="189" t="s">
        <v>161</v>
      </c>
      <c r="H26" s="189" t="s">
        <v>45</v>
      </c>
      <c r="I26" s="189" t="s">
        <v>41</v>
      </c>
      <c r="J26" s="189" t="s">
        <v>395</v>
      </c>
      <c r="K26" s="189"/>
      <c r="L26" s="189"/>
      <c r="M26" s="189"/>
      <c r="N26" s="189"/>
      <c r="O26" s="204"/>
      <c r="P26" s="204"/>
      <c r="Q26" s="204"/>
      <c r="R26" s="193"/>
      <c r="S26" s="200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60"/>
      <c r="BO26" s="160"/>
    </row>
    <row r="27" spans="1:67" x14ac:dyDescent="0.25">
      <c r="A27" s="160">
        <v>24</v>
      </c>
      <c r="B27" s="190" t="s">
        <v>109</v>
      </c>
      <c r="C27" s="190"/>
      <c r="D27" s="189"/>
      <c r="E27" s="189"/>
      <c r="F27" s="212" t="s">
        <v>350</v>
      </c>
      <c r="G27" s="189" t="s">
        <v>161</v>
      </c>
      <c r="H27" s="189" t="s">
        <v>45</v>
      </c>
      <c r="I27" s="189" t="s">
        <v>41</v>
      </c>
      <c r="J27" s="189" t="s">
        <v>395</v>
      </c>
      <c r="K27" s="189">
        <v>2</v>
      </c>
      <c r="L27" s="189">
        <v>2</v>
      </c>
      <c r="M27" s="189">
        <v>2</v>
      </c>
      <c r="N27" s="189">
        <v>2</v>
      </c>
      <c r="O27" s="204">
        <v>1</v>
      </c>
      <c r="P27" s="204"/>
      <c r="Q27" s="204"/>
      <c r="R27" s="193"/>
      <c r="S27" s="200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60"/>
      <c r="BO27" s="160"/>
    </row>
    <row r="28" spans="1:67" x14ac:dyDescent="0.25">
      <c r="A28" s="160">
        <v>25</v>
      </c>
      <c r="B28" s="190" t="s">
        <v>109</v>
      </c>
      <c r="C28" s="190"/>
      <c r="D28" s="189"/>
      <c r="E28" s="189"/>
      <c r="F28" s="212" t="s">
        <v>353</v>
      </c>
      <c r="G28" s="189" t="s">
        <v>161</v>
      </c>
      <c r="H28" s="189" t="s">
        <v>45</v>
      </c>
      <c r="I28" s="189" t="s">
        <v>41</v>
      </c>
      <c r="J28" s="189" t="s">
        <v>395</v>
      </c>
      <c r="K28" s="189"/>
      <c r="L28" s="189"/>
      <c r="M28" s="189"/>
      <c r="N28" s="189"/>
      <c r="O28" s="204"/>
      <c r="P28" s="189"/>
      <c r="Q28" s="189"/>
      <c r="R28" s="193"/>
      <c r="S28" s="200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60"/>
      <c r="BO28" s="160"/>
    </row>
    <row r="29" spans="1:67" x14ac:dyDescent="0.25">
      <c r="A29" s="160">
        <v>26</v>
      </c>
      <c r="B29" s="194" t="s">
        <v>110</v>
      </c>
      <c r="C29" s="194"/>
      <c r="D29" s="197" t="s">
        <v>130</v>
      </c>
      <c r="E29" s="197"/>
      <c r="F29" s="196" t="s">
        <v>123</v>
      </c>
      <c r="G29" s="197" t="s">
        <v>163</v>
      </c>
      <c r="H29" s="197" t="s">
        <v>370</v>
      </c>
      <c r="I29" s="197" t="s">
        <v>41</v>
      </c>
      <c r="J29" s="195" t="s">
        <v>398</v>
      </c>
      <c r="K29" s="195">
        <v>4</v>
      </c>
      <c r="L29" s="195">
        <v>6</v>
      </c>
      <c r="M29" s="195">
        <v>12</v>
      </c>
      <c r="N29" s="195">
        <v>3</v>
      </c>
      <c r="O29" s="201">
        <v>2</v>
      </c>
      <c r="P29" s="189"/>
      <c r="Q29" s="189"/>
      <c r="R29" s="193"/>
      <c r="S29" s="200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89"/>
      <c r="AE29" s="189"/>
      <c r="AF29" s="189"/>
      <c r="AG29" s="189"/>
      <c r="AH29" s="189"/>
      <c r="AI29" s="189"/>
      <c r="AJ29" s="189" t="s">
        <v>411</v>
      </c>
      <c r="AK29" s="189" t="s">
        <v>411</v>
      </c>
      <c r="AL29" s="189" t="s">
        <v>411</v>
      </c>
      <c r="AM29" s="189" t="s">
        <v>411</v>
      </c>
      <c r="AN29" s="189" t="s">
        <v>411</v>
      </c>
      <c r="AO29" s="189" t="s">
        <v>411</v>
      </c>
      <c r="AP29" s="193" t="s">
        <v>409</v>
      </c>
      <c r="AQ29" s="193" t="s">
        <v>409</v>
      </c>
      <c r="AR29" s="193" t="s">
        <v>409</v>
      </c>
      <c r="AS29" s="193" t="s">
        <v>409</v>
      </c>
      <c r="AT29" s="193" t="s">
        <v>409</v>
      </c>
      <c r="AU29" s="193" t="s">
        <v>409</v>
      </c>
      <c r="AV29" s="193" t="s">
        <v>409</v>
      </c>
      <c r="AW29" s="193" t="s">
        <v>409</v>
      </c>
      <c r="AX29" s="193" t="s">
        <v>409</v>
      </c>
      <c r="AY29" s="193" t="s">
        <v>409</v>
      </c>
      <c r="AZ29" s="193" t="s">
        <v>409</v>
      </c>
      <c r="BA29" s="193" t="s">
        <v>409</v>
      </c>
      <c r="BB29" s="189" t="s">
        <v>410</v>
      </c>
      <c r="BC29" s="189" t="s">
        <v>410</v>
      </c>
      <c r="BD29" s="189" t="s">
        <v>410</v>
      </c>
      <c r="BE29" s="189"/>
      <c r="BF29" s="189"/>
      <c r="BG29" s="189"/>
      <c r="BH29" s="189"/>
      <c r="BI29" s="189"/>
      <c r="BJ29" s="189"/>
      <c r="BK29" s="189"/>
      <c r="BL29" s="189"/>
      <c r="BM29" s="189"/>
      <c r="BN29" s="160"/>
      <c r="BO29" s="160"/>
    </row>
    <row r="30" spans="1:67" x14ac:dyDescent="0.25">
      <c r="A30" s="160">
        <v>27</v>
      </c>
      <c r="B30" s="194" t="s">
        <v>110</v>
      </c>
      <c r="C30" s="194"/>
      <c r="D30" s="197" t="s">
        <v>103</v>
      </c>
      <c r="E30" s="197"/>
      <c r="F30" s="196" t="s">
        <v>143</v>
      </c>
      <c r="G30" s="197" t="s">
        <v>162</v>
      </c>
      <c r="H30" s="197" t="s">
        <v>371</v>
      </c>
      <c r="I30" s="197" t="s">
        <v>41</v>
      </c>
      <c r="J30" s="195" t="s">
        <v>398</v>
      </c>
      <c r="K30" s="195">
        <v>2</v>
      </c>
      <c r="L30" s="195">
        <v>3</v>
      </c>
      <c r="M30" s="195">
        <v>6</v>
      </c>
      <c r="N30" s="195">
        <v>2</v>
      </c>
      <c r="O30" s="201">
        <v>2</v>
      </c>
      <c r="P30" s="189"/>
      <c r="Q30" s="189"/>
      <c r="R30" s="193"/>
      <c r="S30" s="200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 t="s">
        <v>411</v>
      </c>
      <c r="AN30" s="189" t="s">
        <v>411</v>
      </c>
      <c r="AO30" s="189" t="s">
        <v>411</v>
      </c>
      <c r="AP30" s="193" t="s">
        <v>409</v>
      </c>
      <c r="AQ30" s="193" t="s">
        <v>409</v>
      </c>
      <c r="AR30" s="193" t="s">
        <v>409</v>
      </c>
      <c r="AS30" s="193" t="s">
        <v>409</v>
      </c>
      <c r="AT30" s="193" t="s">
        <v>409</v>
      </c>
      <c r="AU30" s="193" t="s">
        <v>409</v>
      </c>
      <c r="AV30" s="193" t="s">
        <v>410</v>
      </c>
      <c r="AW30" s="193" t="s">
        <v>410</v>
      </c>
      <c r="AX30" s="193"/>
      <c r="AY30" s="193"/>
      <c r="AZ30" s="193"/>
      <c r="BA30" s="193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60"/>
      <c r="BO30" s="160"/>
    </row>
    <row r="31" spans="1:67" x14ac:dyDescent="0.25">
      <c r="A31" s="160">
        <v>28</v>
      </c>
      <c r="B31" s="194" t="s">
        <v>110</v>
      </c>
      <c r="C31" s="194"/>
      <c r="D31" s="197" t="s">
        <v>103</v>
      </c>
      <c r="E31" s="197"/>
      <c r="F31" s="196" t="s">
        <v>144</v>
      </c>
      <c r="G31" s="197" t="s">
        <v>162</v>
      </c>
      <c r="H31" s="197" t="s">
        <v>371</v>
      </c>
      <c r="I31" s="197" t="s">
        <v>41</v>
      </c>
      <c r="J31" s="195" t="s">
        <v>398</v>
      </c>
      <c r="K31" s="195">
        <v>2</v>
      </c>
      <c r="L31" s="195">
        <v>3</v>
      </c>
      <c r="M31" s="195">
        <v>6</v>
      </c>
      <c r="N31" s="195">
        <v>2</v>
      </c>
      <c r="O31" s="201">
        <v>2</v>
      </c>
      <c r="P31" s="189"/>
      <c r="Q31" s="189"/>
      <c r="R31" s="193"/>
      <c r="S31" s="200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93"/>
      <c r="AQ31" s="193"/>
      <c r="AR31" s="193"/>
      <c r="AS31" s="193" t="s">
        <v>411</v>
      </c>
      <c r="AT31" s="193" t="s">
        <v>411</v>
      </c>
      <c r="AU31" s="193" t="s">
        <v>411</v>
      </c>
      <c r="AV31" s="193" t="s">
        <v>409</v>
      </c>
      <c r="AW31" s="193" t="s">
        <v>409</v>
      </c>
      <c r="AX31" s="193" t="s">
        <v>409</v>
      </c>
      <c r="AY31" s="193" t="s">
        <v>409</v>
      </c>
      <c r="AZ31" s="193" t="s">
        <v>409</v>
      </c>
      <c r="BA31" s="193" t="s">
        <v>409</v>
      </c>
      <c r="BB31" s="189" t="s">
        <v>410</v>
      </c>
      <c r="BC31" s="189" t="s">
        <v>410</v>
      </c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60"/>
      <c r="BO31" s="160"/>
    </row>
    <row r="32" spans="1:67" ht="30" x14ac:dyDescent="0.25">
      <c r="A32" s="160">
        <v>29</v>
      </c>
      <c r="B32" s="194" t="s">
        <v>110</v>
      </c>
      <c r="C32" s="194"/>
      <c r="D32" s="197" t="s">
        <v>103</v>
      </c>
      <c r="E32" s="197"/>
      <c r="F32" s="196" t="s">
        <v>189</v>
      </c>
      <c r="G32" s="197" t="s">
        <v>162</v>
      </c>
      <c r="H32" s="197" t="s">
        <v>168</v>
      </c>
      <c r="I32" s="197" t="s">
        <v>41</v>
      </c>
      <c r="J32" s="195" t="s">
        <v>398</v>
      </c>
      <c r="K32" s="195">
        <v>2</v>
      </c>
      <c r="L32" s="195">
        <v>3</v>
      </c>
      <c r="M32" s="195">
        <v>8</v>
      </c>
      <c r="N32" s="195">
        <v>3</v>
      </c>
      <c r="O32" s="201">
        <v>2</v>
      </c>
      <c r="P32" s="189"/>
      <c r="Q32" s="189"/>
      <c r="R32" s="193"/>
      <c r="S32" s="200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 t="s">
        <v>411</v>
      </c>
      <c r="AN32" s="189" t="s">
        <v>411</v>
      </c>
      <c r="AO32" s="189" t="s">
        <v>411</v>
      </c>
      <c r="AP32" s="193" t="s">
        <v>409</v>
      </c>
      <c r="AQ32" s="193" t="s">
        <v>409</v>
      </c>
      <c r="AR32" s="193" t="s">
        <v>409</v>
      </c>
      <c r="AS32" s="193" t="s">
        <v>409</v>
      </c>
      <c r="AT32" s="193" t="s">
        <v>409</v>
      </c>
      <c r="AU32" s="193" t="s">
        <v>409</v>
      </c>
      <c r="AV32" s="193" t="s">
        <v>409</v>
      </c>
      <c r="AW32" s="193" t="s">
        <v>409</v>
      </c>
      <c r="AX32" s="193" t="s">
        <v>410</v>
      </c>
      <c r="AY32" s="193" t="s">
        <v>410</v>
      </c>
      <c r="AZ32" s="193" t="s">
        <v>410</v>
      </c>
      <c r="BA32" s="193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60"/>
      <c r="BO32" s="160"/>
    </row>
    <row r="33" spans="1:68" x14ac:dyDescent="0.25">
      <c r="A33" s="160">
        <v>30</v>
      </c>
      <c r="B33" s="194" t="s">
        <v>110</v>
      </c>
      <c r="C33" s="194"/>
      <c r="D33" s="197" t="s">
        <v>103</v>
      </c>
      <c r="E33" s="197" t="s">
        <v>407</v>
      </c>
      <c r="F33" s="196" t="s">
        <v>93</v>
      </c>
      <c r="G33" s="197" t="s">
        <v>161</v>
      </c>
      <c r="H33" s="197" t="s">
        <v>404</v>
      </c>
      <c r="I33" s="197" t="s">
        <v>41</v>
      </c>
      <c r="J33" s="197" t="s">
        <v>397</v>
      </c>
      <c r="K33" s="197">
        <v>2</v>
      </c>
      <c r="L33" s="197">
        <v>2</v>
      </c>
      <c r="M33" s="197">
        <v>2</v>
      </c>
      <c r="N33" s="197">
        <v>2</v>
      </c>
      <c r="O33" s="202">
        <v>2</v>
      </c>
      <c r="P33" s="189"/>
      <c r="Q33" s="189"/>
      <c r="R33" s="193"/>
      <c r="S33" s="200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93"/>
      <c r="AQ33" s="193"/>
      <c r="AR33" s="193"/>
      <c r="AS33" s="193"/>
      <c r="AT33" s="193"/>
      <c r="AU33" s="193"/>
      <c r="AV33" s="193" t="s">
        <v>411</v>
      </c>
      <c r="AW33" s="193" t="s">
        <v>411</v>
      </c>
      <c r="AX33" s="193" t="s">
        <v>409</v>
      </c>
      <c r="AY33" s="193" t="s">
        <v>409</v>
      </c>
      <c r="AZ33" s="193" t="s">
        <v>410</v>
      </c>
      <c r="BA33" s="193" t="s">
        <v>410</v>
      </c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60"/>
      <c r="BO33" s="160"/>
    </row>
    <row r="34" spans="1:68" ht="15" customHeight="1" x14ac:dyDescent="0.25">
      <c r="A34" s="160">
        <v>31</v>
      </c>
      <c r="B34" s="194" t="s">
        <v>110</v>
      </c>
      <c r="C34" s="194"/>
      <c r="D34" s="197" t="s">
        <v>103</v>
      </c>
      <c r="E34" s="197"/>
      <c r="F34" s="196" t="s">
        <v>142</v>
      </c>
      <c r="G34" s="197" t="s">
        <v>161</v>
      </c>
      <c r="H34" s="197" t="s">
        <v>371</v>
      </c>
      <c r="I34" s="197" t="s">
        <v>41</v>
      </c>
      <c r="J34" s="197" t="s">
        <v>396</v>
      </c>
      <c r="K34" s="197">
        <v>2</v>
      </c>
      <c r="L34" s="197">
        <v>2</v>
      </c>
      <c r="M34" s="197">
        <v>2</v>
      </c>
      <c r="N34" s="197">
        <v>2</v>
      </c>
      <c r="O34" s="202">
        <v>2</v>
      </c>
      <c r="P34" s="189"/>
      <c r="Q34" s="189"/>
      <c r="R34" s="193"/>
      <c r="S34" s="200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93"/>
      <c r="AQ34" s="193"/>
      <c r="AR34" s="193"/>
      <c r="AS34" s="193"/>
      <c r="AT34" s="193"/>
      <c r="AU34" s="193"/>
      <c r="AV34" s="193"/>
      <c r="AW34" s="193"/>
      <c r="AX34" s="193" t="s">
        <v>411</v>
      </c>
      <c r="AY34" s="193" t="s">
        <v>411</v>
      </c>
      <c r="AZ34" s="193" t="s">
        <v>409</v>
      </c>
      <c r="BA34" s="193" t="s">
        <v>409</v>
      </c>
      <c r="BB34" s="189" t="s">
        <v>410</v>
      </c>
      <c r="BC34" s="189" t="s">
        <v>410</v>
      </c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60"/>
      <c r="BO34" s="160"/>
    </row>
    <row r="35" spans="1:68" x14ac:dyDescent="0.25">
      <c r="A35" s="160">
        <v>32</v>
      </c>
      <c r="B35" s="190" t="s">
        <v>111</v>
      </c>
      <c r="C35" s="190"/>
      <c r="D35" s="189" t="s">
        <v>295</v>
      </c>
      <c r="E35" s="189"/>
      <c r="F35" s="212" t="s">
        <v>311</v>
      </c>
      <c r="G35" s="189" t="s">
        <v>163</v>
      </c>
      <c r="H35" s="189" t="s">
        <v>168</v>
      </c>
      <c r="I35" s="189" t="s">
        <v>41</v>
      </c>
      <c r="J35" s="191" t="s">
        <v>398</v>
      </c>
      <c r="K35" s="191">
        <v>4</v>
      </c>
      <c r="L35" s="191">
        <v>6</v>
      </c>
      <c r="M35" s="191">
        <v>14</v>
      </c>
      <c r="N35" s="191">
        <v>4</v>
      </c>
      <c r="O35" s="203">
        <v>4</v>
      </c>
      <c r="P35" s="189"/>
      <c r="Q35" s="189"/>
      <c r="R35" s="193"/>
      <c r="S35" s="200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89" t="s">
        <v>409</v>
      </c>
      <c r="BC35" s="189" t="s">
        <v>409</v>
      </c>
      <c r="BD35" s="189" t="s">
        <v>409</v>
      </c>
      <c r="BE35" s="189" t="s">
        <v>409</v>
      </c>
      <c r="BF35" s="189" t="s">
        <v>409</v>
      </c>
      <c r="BG35" s="189" t="s">
        <v>409</v>
      </c>
      <c r="BH35" s="189"/>
      <c r="BI35" s="189"/>
      <c r="BJ35" s="189"/>
      <c r="BK35" s="189" t="s">
        <v>410</v>
      </c>
      <c r="BL35" s="189"/>
      <c r="BM35" s="189"/>
      <c r="BN35" s="160"/>
      <c r="BO35" s="160"/>
      <c r="BP35" t="s">
        <v>415</v>
      </c>
    </row>
    <row r="36" spans="1:68" x14ac:dyDescent="0.25">
      <c r="A36" s="160">
        <v>33</v>
      </c>
      <c r="B36" s="190" t="s">
        <v>111</v>
      </c>
      <c r="C36" s="190"/>
      <c r="D36" s="189" t="s">
        <v>103</v>
      </c>
      <c r="E36" s="189"/>
      <c r="F36" s="212" t="s">
        <v>141</v>
      </c>
      <c r="G36" s="189" t="s">
        <v>162</v>
      </c>
      <c r="H36" s="189" t="s">
        <v>45</v>
      </c>
      <c r="I36" s="189" t="s">
        <v>41</v>
      </c>
      <c r="J36" s="191" t="s">
        <v>398</v>
      </c>
      <c r="K36" s="191">
        <v>2</v>
      </c>
      <c r="L36" s="191">
        <v>3</v>
      </c>
      <c r="M36" s="191">
        <v>6</v>
      </c>
      <c r="N36" s="191">
        <v>3</v>
      </c>
      <c r="O36" s="203">
        <v>2</v>
      </c>
      <c r="P36" s="203"/>
      <c r="Q36" s="203"/>
      <c r="R36" s="193"/>
      <c r="S36" s="200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 t="s">
        <v>411</v>
      </c>
      <c r="AZ36" s="193" t="s">
        <v>411</v>
      </c>
      <c r="BA36" s="193" t="s">
        <v>411</v>
      </c>
      <c r="BB36" s="189" t="s">
        <v>409</v>
      </c>
      <c r="BC36" s="189" t="s">
        <v>409</v>
      </c>
      <c r="BD36" s="189" t="s">
        <v>409</v>
      </c>
      <c r="BE36" s="189" t="s">
        <v>409</v>
      </c>
      <c r="BF36" s="189" t="s">
        <v>409</v>
      </c>
      <c r="BG36" s="189" t="s">
        <v>409</v>
      </c>
      <c r="BH36" s="189" t="s">
        <v>410</v>
      </c>
      <c r="BI36" s="189" t="s">
        <v>410</v>
      </c>
      <c r="BJ36" s="189" t="s">
        <v>410</v>
      </c>
      <c r="BK36" s="189"/>
      <c r="BL36" s="189"/>
      <c r="BM36" s="189"/>
      <c r="BN36" s="160"/>
      <c r="BO36" s="160"/>
    </row>
    <row r="37" spans="1:68" x14ac:dyDescent="0.25">
      <c r="A37" s="160">
        <v>34</v>
      </c>
      <c r="B37" s="190" t="s">
        <v>111</v>
      </c>
      <c r="C37" s="190"/>
      <c r="D37" s="189"/>
      <c r="E37" s="189"/>
      <c r="F37" s="212" t="s">
        <v>183</v>
      </c>
      <c r="G37" s="189" t="s">
        <v>162</v>
      </c>
      <c r="H37" s="189" t="s">
        <v>168</v>
      </c>
      <c r="I37" s="189" t="s">
        <v>41</v>
      </c>
      <c r="J37" s="191" t="s">
        <v>398</v>
      </c>
      <c r="K37" s="191">
        <v>6</v>
      </c>
      <c r="L37" s="191"/>
      <c r="M37" s="191"/>
      <c r="N37" s="191"/>
      <c r="O37" s="203"/>
      <c r="P37" s="203"/>
      <c r="Q37" s="203"/>
      <c r="R37" s="193"/>
      <c r="S37" s="200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89" t="s">
        <v>417</v>
      </c>
      <c r="BC37" s="189" t="s">
        <v>417</v>
      </c>
      <c r="BD37" s="189" t="s">
        <v>417</v>
      </c>
      <c r="BE37" s="189" t="s">
        <v>417</v>
      </c>
      <c r="BF37" s="189" t="s">
        <v>417</v>
      </c>
      <c r="BG37" s="189" t="s">
        <v>417</v>
      </c>
      <c r="BH37" s="189"/>
      <c r="BI37" s="189"/>
      <c r="BJ37" s="189"/>
      <c r="BK37" s="189"/>
      <c r="BL37" s="189"/>
      <c r="BM37" s="189"/>
      <c r="BN37" s="160"/>
      <c r="BO37" s="160"/>
    </row>
    <row r="38" spans="1:68" x14ac:dyDescent="0.25">
      <c r="A38" s="160">
        <v>35</v>
      </c>
      <c r="B38" s="190" t="s">
        <v>111</v>
      </c>
      <c r="C38" s="190"/>
      <c r="D38" s="189"/>
      <c r="E38" s="189"/>
      <c r="F38" s="212" t="s">
        <v>197</v>
      </c>
      <c r="G38" s="189" t="s">
        <v>161</v>
      </c>
      <c r="H38" s="189" t="s">
        <v>170</v>
      </c>
      <c r="I38" s="189" t="s">
        <v>41</v>
      </c>
      <c r="J38" s="191" t="s">
        <v>398</v>
      </c>
      <c r="K38" s="191">
        <v>4</v>
      </c>
      <c r="L38" s="191"/>
      <c r="M38" s="191"/>
      <c r="N38" s="191"/>
      <c r="O38" s="203"/>
      <c r="P38" s="203"/>
      <c r="Q38" s="203"/>
      <c r="R38" s="193"/>
      <c r="S38" s="200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89" t="s">
        <v>417</v>
      </c>
      <c r="BC38" s="189" t="s">
        <v>417</v>
      </c>
      <c r="BD38" s="189" t="s">
        <v>417</v>
      </c>
      <c r="BE38" s="189" t="s">
        <v>417</v>
      </c>
      <c r="BF38" s="189"/>
      <c r="BG38" s="189"/>
      <c r="BH38" s="189"/>
      <c r="BI38" s="189"/>
      <c r="BJ38" s="189"/>
      <c r="BK38" s="189"/>
      <c r="BL38" s="189"/>
      <c r="BM38" s="189"/>
      <c r="BN38" s="160"/>
      <c r="BO38" s="160"/>
    </row>
    <row r="39" spans="1:68" x14ac:dyDescent="0.25">
      <c r="A39" s="160">
        <v>36</v>
      </c>
      <c r="B39" s="190" t="s">
        <v>111</v>
      </c>
      <c r="C39" s="190"/>
      <c r="D39" s="189"/>
      <c r="E39" s="189"/>
      <c r="F39" s="212" t="s">
        <v>198</v>
      </c>
      <c r="G39" s="189" t="s">
        <v>161</v>
      </c>
      <c r="H39" s="189" t="s">
        <v>168</v>
      </c>
      <c r="I39" s="189" t="s">
        <v>41</v>
      </c>
      <c r="J39" s="191" t="s">
        <v>398</v>
      </c>
      <c r="K39" s="191">
        <v>4</v>
      </c>
      <c r="L39" s="191"/>
      <c r="M39" s="191"/>
      <c r="N39" s="191"/>
      <c r="O39" s="203"/>
      <c r="P39" s="203"/>
      <c r="Q39" s="203"/>
      <c r="R39" s="193"/>
      <c r="S39" s="200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89" t="s">
        <v>417</v>
      </c>
      <c r="BC39" s="189" t="s">
        <v>417</v>
      </c>
      <c r="BD39" s="189" t="s">
        <v>417</v>
      </c>
      <c r="BE39" s="189" t="s">
        <v>417</v>
      </c>
      <c r="BF39" s="189"/>
      <c r="BG39" s="189"/>
      <c r="BH39" s="189"/>
      <c r="BI39" s="189"/>
      <c r="BJ39" s="189"/>
      <c r="BK39" s="189"/>
      <c r="BL39" s="189"/>
      <c r="BM39" s="189"/>
      <c r="BN39" s="160"/>
      <c r="BO39" s="160"/>
    </row>
    <row r="40" spans="1:68" x14ac:dyDescent="0.25">
      <c r="A40" s="160">
        <v>37</v>
      </c>
      <c r="B40" s="190" t="s">
        <v>111</v>
      </c>
      <c r="C40" s="190"/>
      <c r="D40" s="189" t="s">
        <v>103</v>
      </c>
      <c r="E40" s="189"/>
      <c r="F40" s="212" t="s">
        <v>175</v>
      </c>
      <c r="G40" s="189" t="s">
        <v>162</v>
      </c>
      <c r="H40" s="189" t="s">
        <v>371</v>
      </c>
      <c r="I40" s="189" t="s">
        <v>41</v>
      </c>
      <c r="J40" s="189" t="s">
        <v>396</v>
      </c>
      <c r="K40" s="189">
        <v>2</v>
      </c>
      <c r="L40" s="189">
        <v>3</v>
      </c>
      <c r="M40" s="189">
        <v>8</v>
      </c>
      <c r="N40" s="189">
        <v>3</v>
      </c>
      <c r="O40" s="204">
        <v>2</v>
      </c>
      <c r="P40" s="204"/>
      <c r="Q40" s="204"/>
      <c r="R40" s="193"/>
      <c r="S40" s="200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 t="s">
        <v>411</v>
      </c>
      <c r="AZ40" s="193" t="s">
        <v>411</v>
      </c>
      <c r="BA40" s="193" t="s">
        <v>411</v>
      </c>
      <c r="BB40" s="189" t="s">
        <v>409</v>
      </c>
      <c r="BC40" s="189" t="s">
        <v>409</v>
      </c>
      <c r="BD40" s="189" t="s">
        <v>409</v>
      </c>
      <c r="BE40" s="189" t="s">
        <v>409</v>
      </c>
      <c r="BF40" s="189" t="s">
        <v>409</v>
      </c>
      <c r="BG40" s="189" t="s">
        <v>409</v>
      </c>
      <c r="BH40" s="189" t="s">
        <v>409</v>
      </c>
      <c r="BI40" s="189" t="s">
        <v>409</v>
      </c>
      <c r="BJ40" s="189" t="s">
        <v>410</v>
      </c>
      <c r="BK40" s="189" t="s">
        <v>410</v>
      </c>
      <c r="BL40" s="189" t="s">
        <v>410</v>
      </c>
      <c r="BM40" s="189"/>
      <c r="BN40" s="160"/>
      <c r="BO40" s="160"/>
    </row>
    <row r="41" spans="1:68" x14ac:dyDescent="0.25">
      <c r="A41" s="160">
        <v>38</v>
      </c>
      <c r="B41" s="190" t="s">
        <v>111</v>
      </c>
      <c r="C41" s="190"/>
      <c r="D41" s="189" t="s">
        <v>103</v>
      </c>
      <c r="E41" s="189"/>
      <c r="F41" s="212" t="s">
        <v>157</v>
      </c>
      <c r="G41" s="189" t="s">
        <v>161</v>
      </c>
      <c r="H41" s="189" t="s">
        <v>371</v>
      </c>
      <c r="I41" s="189" t="s">
        <v>41</v>
      </c>
      <c r="J41" s="189" t="s">
        <v>396</v>
      </c>
      <c r="K41" s="189">
        <v>2</v>
      </c>
      <c r="L41" s="189">
        <v>2</v>
      </c>
      <c r="M41" s="189">
        <v>2</v>
      </c>
      <c r="N41" s="189">
        <v>2</v>
      </c>
      <c r="O41" s="204">
        <v>1</v>
      </c>
      <c r="P41" s="204"/>
      <c r="Q41" s="204"/>
      <c r="R41" s="193"/>
      <c r="S41" s="200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89"/>
      <c r="BC41" s="189"/>
      <c r="BD41" s="189"/>
      <c r="BE41" s="189"/>
      <c r="BF41" s="189" t="s">
        <v>411</v>
      </c>
      <c r="BG41" s="189" t="s">
        <v>411</v>
      </c>
      <c r="BH41" s="189" t="s">
        <v>409</v>
      </c>
      <c r="BI41" s="189" t="s">
        <v>409</v>
      </c>
      <c r="BJ41" s="189" t="s">
        <v>410</v>
      </c>
      <c r="BK41" s="189" t="s">
        <v>410</v>
      </c>
      <c r="BL41" s="189"/>
      <c r="BM41" s="189"/>
      <c r="BN41" s="160"/>
      <c r="BO41" s="160"/>
    </row>
    <row r="42" spans="1:68" ht="15" customHeight="1" x14ac:dyDescent="0.25">
      <c r="A42" s="160">
        <v>39</v>
      </c>
      <c r="B42" s="190" t="s">
        <v>111</v>
      </c>
      <c r="C42" s="190"/>
      <c r="D42" s="189"/>
      <c r="E42" s="189"/>
      <c r="F42" s="212" t="s">
        <v>347</v>
      </c>
      <c r="G42" s="189" t="s">
        <v>161</v>
      </c>
      <c r="H42" s="189" t="s">
        <v>45</v>
      </c>
      <c r="I42" s="189" t="s">
        <v>41</v>
      </c>
      <c r="J42" s="189" t="s">
        <v>395</v>
      </c>
      <c r="K42" s="189"/>
      <c r="L42" s="189"/>
      <c r="M42" s="189"/>
      <c r="N42" s="189"/>
      <c r="O42" s="204"/>
      <c r="P42" s="204"/>
      <c r="Q42" s="204"/>
      <c r="R42" s="193"/>
      <c r="S42" s="200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60"/>
      <c r="BO42" s="160"/>
    </row>
    <row r="43" spans="1:68" x14ac:dyDescent="0.25">
      <c r="R43" s="65"/>
      <c r="S43" s="206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</row>
    <row r="44" spans="1:68" x14ac:dyDescent="0.25">
      <c r="R44" s="65"/>
      <c r="S44" s="206"/>
      <c r="T44" s="65"/>
      <c r="U44" s="65"/>
      <c r="V44" s="65"/>
      <c r="W44" s="65"/>
      <c r="X44" s="65"/>
      <c r="Y44" s="235" t="s">
        <v>191</v>
      </c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</row>
    <row r="45" spans="1:68" x14ac:dyDescent="0.25">
      <c r="R45" s="65"/>
      <c r="S45" s="206"/>
      <c r="T45" s="65"/>
      <c r="U45" s="65"/>
      <c r="V45" s="65"/>
      <c r="W45" s="65"/>
      <c r="X45" s="65"/>
      <c r="Y45" s="235" t="s">
        <v>192</v>
      </c>
      <c r="Z45" s="235"/>
      <c r="AA45" s="235"/>
      <c r="AB45" s="235"/>
      <c r="AC45" s="235" t="s">
        <v>161</v>
      </c>
      <c r="AD45" s="235"/>
      <c r="AE45" s="235"/>
      <c r="AF45" s="235"/>
      <c r="AG45" s="235" t="s">
        <v>162</v>
      </c>
      <c r="AH45" s="235"/>
      <c r="AI45" s="235"/>
      <c r="AJ45" s="235"/>
      <c r="AK45" s="235" t="s">
        <v>163</v>
      </c>
      <c r="AL45" s="235"/>
      <c r="AM45" s="235"/>
      <c r="AN45" s="23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</row>
    <row r="46" spans="1:68" x14ac:dyDescent="0.25">
      <c r="J46" s="65" t="s">
        <v>161</v>
      </c>
      <c r="K46" s="192">
        <v>2</v>
      </c>
      <c r="L46" s="192">
        <v>2</v>
      </c>
      <c r="M46" s="192">
        <v>2</v>
      </c>
      <c r="N46" s="192">
        <v>2</v>
      </c>
      <c r="O46" s="192">
        <v>1</v>
      </c>
      <c r="R46" s="235" t="s">
        <v>416</v>
      </c>
      <c r="S46" s="235"/>
      <c r="T46" s="235"/>
      <c r="U46" s="235"/>
      <c r="V46" s="235"/>
      <c r="W46" s="235"/>
      <c r="X46" s="235"/>
      <c r="Y46" s="226">
        <v>1</v>
      </c>
      <c r="Z46" s="226"/>
      <c r="AA46" s="226"/>
      <c r="AB46" s="226"/>
      <c r="AC46" s="227">
        <v>2</v>
      </c>
      <c r="AD46" s="228"/>
      <c r="AE46" s="228"/>
      <c r="AF46" s="234"/>
      <c r="AG46" s="226">
        <v>2</v>
      </c>
      <c r="AH46" s="226"/>
      <c r="AI46" s="226"/>
      <c r="AJ46" s="226"/>
      <c r="AK46" s="226">
        <v>4</v>
      </c>
      <c r="AL46" s="226"/>
      <c r="AM46" s="226"/>
      <c r="AN46" s="226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</row>
    <row r="47" spans="1:68" x14ac:dyDescent="0.25">
      <c r="J47" s="65" t="s">
        <v>162</v>
      </c>
      <c r="K47" s="192">
        <v>2</v>
      </c>
      <c r="L47" s="192">
        <v>3</v>
      </c>
      <c r="M47" s="192">
        <v>8</v>
      </c>
      <c r="N47" s="192">
        <v>2</v>
      </c>
      <c r="O47" s="192">
        <v>2</v>
      </c>
      <c r="R47" s="235" t="s">
        <v>366</v>
      </c>
      <c r="S47" s="235"/>
      <c r="T47" s="235"/>
      <c r="U47" s="235"/>
      <c r="V47" s="235"/>
      <c r="W47" s="235"/>
      <c r="X47" s="235"/>
      <c r="Y47" s="226">
        <v>1</v>
      </c>
      <c r="Z47" s="226"/>
      <c r="AA47" s="226"/>
      <c r="AB47" s="226"/>
      <c r="AC47" s="227">
        <v>2</v>
      </c>
      <c r="AD47" s="228"/>
      <c r="AE47" s="228"/>
      <c r="AF47" s="234"/>
      <c r="AG47" s="226">
        <v>3</v>
      </c>
      <c r="AH47" s="226"/>
      <c r="AI47" s="226"/>
      <c r="AJ47" s="226"/>
      <c r="AK47" s="226">
        <v>6</v>
      </c>
      <c r="AL47" s="226"/>
      <c r="AM47" s="226"/>
      <c r="AN47" s="226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</row>
    <row r="48" spans="1:68" x14ac:dyDescent="0.25">
      <c r="J48" s="65" t="s">
        <v>163</v>
      </c>
      <c r="K48" s="192">
        <v>4</v>
      </c>
      <c r="L48" s="192">
        <v>6</v>
      </c>
      <c r="M48" s="192">
        <v>12</v>
      </c>
      <c r="N48" s="192">
        <v>3</v>
      </c>
      <c r="O48" s="192">
        <v>4</v>
      </c>
      <c r="R48" s="235" t="s">
        <v>365</v>
      </c>
      <c r="S48" s="235"/>
      <c r="T48" s="235"/>
      <c r="U48" s="235"/>
      <c r="V48" s="235"/>
      <c r="W48" s="235"/>
      <c r="X48" s="235"/>
      <c r="Y48" s="226">
        <v>1</v>
      </c>
      <c r="Z48" s="226"/>
      <c r="AA48" s="226"/>
      <c r="AB48" s="226"/>
      <c r="AC48" s="227">
        <v>2</v>
      </c>
      <c r="AD48" s="228"/>
      <c r="AE48" s="228"/>
      <c r="AF48" s="234"/>
      <c r="AG48" s="226">
        <v>8</v>
      </c>
      <c r="AH48" s="226"/>
      <c r="AI48" s="226"/>
      <c r="AJ48" s="226"/>
      <c r="AK48" s="226">
        <v>12</v>
      </c>
      <c r="AL48" s="226"/>
      <c r="AM48" s="226"/>
      <c r="AN48" s="226"/>
    </row>
    <row r="49" spans="18:40" x14ac:dyDescent="0.25">
      <c r="R49" s="235" t="s">
        <v>364</v>
      </c>
      <c r="S49" s="235"/>
      <c r="T49" s="235"/>
      <c r="U49" s="235"/>
      <c r="V49" s="235"/>
      <c r="W49" s="235"/>
      <c r="X49" s="235"/>
      <c r="Y49" s="226">
        <v>1</v>
      </c>
      <c r="Z49" s="226"/>
      <c r="AA49" s="226"/>
      <c r="AB49" s="226"/>
      <c r="AC49" s="227">
        <v>2</v>
      </c>
      <c r="AD49" s="228"/>
      <c r="AE49" s="228"/>
      <c r="AF49" s="234"/>
      <c r="AG49" s="226">
        <v>2</v>
      </c>
      <c r="AH49" s="226"/>
      <c r="AI49" s="226"/>
      <c r="AJ49" s="226"/>
      <c r="AK49" s="226">
        <v>3</v>
      </c>
      <c r="AL49" s="226"/>
      <c r="AM49" s="226"/>
      <c r="AN49" s="226"/>
    </row>
    <row r="50" spans="18:40" x14ac:dyDescent="0.25">
      <c r="R50" s="235" t="s">
        <v>405</v>
      </c>
      <c r="S50" s="235"/>
      <c r="T50" s="235"/>
      <c r="U50" s="235"/>
      <c r="V50" s="235"/>
      <c r="W50" s="235"/>
      <c r="X50" s="235"/>
      <c r="Y50" s="226">
        <v>1</v>
      </c>
      <c r="Z50" s="226"/>
      <c r="AA50" s="226"/>
      <c r="AB50" s="226"/>
      <c r="AC50" s="227">
        <v>1</v>
      </c>
      <c r="AD50" s="228"/>
      <c r="AE50" s="228"/>
      <c r="AF50" s="234"/>
      <c r="AG50" s="226">
        <v>2</v>
      </c>
      <c r="AH50" s="226"/>
      <c r="AI50" s="226"/>
      <c r="AJ50" s="226"/>
      <c r="AK50" s="226">
        <v>4</v>
      </c>
      <c r="AL50" s="226"/>
      <c r="AM50" s="226"/>
      <c r="AN50" s="226"/>
    </row>
    <row r="51" spans="18:40" x14ac:dyDescent="0.25">
      <c r="R51" s="226" t="s">
        <v>408</v>
      </c>
      <c r="S51" s="237"/>
      <c r="T51" s="226"/>
      <c r="U51" s="226"/>
      <c r="V51" s="226"/>
      <c r="W51" s="226"/>
      <c r="X51" s="226"/>
      <c r="Y51" s="226" t="s">
        <v>193</v>
      </c>
      <c r="Z51" s="226"/>
      <c r="AA51" s="226"/>
      <c r="AB51" s="226"/>
      <c r="AC51" s="226" t="s">
        <v>363</v>
      </c>
      <c r="AD51" s="226"/>
      <c r="AE51" s="226"/>
      <c r="AF51" s="226"/>
      <c r="AG51" s="226" t="s">
        <v>362</v>
      </c>
      <c r="AH51" s="226"/>
      <c r="AI51" s="226"/>
      <c r="AJ51" s="226"/>
      <c r="AK51" s="226" t="s">
        <v>361</v>
      </c>
      <c r="AL51" s="226"/>
      <c r="AM51" s="226"/>
      <c r="AN51" s="226"/>
    </row>
  </sheetData>
  <autoFilter ref="A3:BO42" xr:uid="{306E64DD-85B4-4436-8109-5A0DE65BBDA6}"/>
  <mergeCells count="59">
    <mergeCell ref="R48:X48"/>
    <mergeCell ref="Y48:AB48"/>
    <mergeCell ref="AC48:AF48"/>
    <mergeCell ref="AG48:AJ48"/>
    <mergeCell ref="AK48:AN48"/>
    <mergeCell ref="R51:X51"/>
    <mergeCell ref="Y51:AB51"/>
    <mergeCell ref="AC51:AF51"/>
    <mergeCell ref="AG51:AJ51"/>
    <mergeCell ref="AK51:AN51"/>
    <mergeCell ref="L1:L3"/>
    <mergeCell ref="M1:M3"/>
    <mergeCell ref="N1:N3"/>
    <mergeCell ref="O1:O3"/>
    <mergeCell ref="R46:X46"/>
    <mergeCell ref="P2:Q2"/>
    <mergeCell ref="P1:Q1"/>
    <mergeCell ref="K1:K3"/>
    <mergeCell ref="D2:E2"/>
    <mergeCell ref="BJ2:BM2"/>
    <mergeCell ref="R1:AC1"/>
    <mergeCell ref="AD1:AO1"/>
    <mergeCell ref="AP1:BA1"/>
    <mergeCell ref="BB1:BM1"/>
    <mergeCell ref="R2:U2"/>
    <mergeCell ref="V2:Y2"/>
    <mergeCell ref="Z2:AC2"/>
    <mergeCell ref="AD2:AG2"/>
    <mergeCell ref="AH2:AK2"/>
    <mergeCell ref="AL2:AO2"/>
    <mergeCell ref="AP2:AS2"/>
    <mergeCell ref="AT2:AW2"/>
    <mergeCell ref="AX2:BA2"/>
    <mergeCell ref="BB2:BE2"/>
    <mergeCell ref="BF2:BI2"/>
    <mergeCell ref="R47:X47"/>
    <mergeCell ref="Y47:AB47"/>
    <mergeCell ref="AC47:AF47"/>
    <mergeCell ref="AG47:AJ47"/>
    <mergeCell ref="AK47:AN47"/>
    <mergeCell ref="Y44:AN44"/>
    <mergeCell ref="Y45:AB45"/>
    <mergeCell ref="AC45:AF45"/>
    <mergeCell ref="AG45:AJ45"/>
    <mergeCell ref="AK45:AN45"/>
    <mergeCell ref="Y46:AB46"/>
    <mergeCell ref="AC46:AF46"/>
    <mergeCell ref="AG46:AJ46"/>
    <mergeCell ref="AK46:AN46"/>
    <mergeCell ref="AC49:AF49"/>
    <mergeCell ref="AG49:AJ49"/>
    <mergeCell ref="AK49:AN49"/>
    <mergeCell ref="R50:X50"/>
    <mergeCell ref="Y50:AB50"/>
    <mergeCell ref="AC50:AF50"/>
    <mergeCell ref="AG50:AJ50"/>
    <mergeCell ref="AK50:AN50"/>
    <mergeCell ref="R49:X49"/>
    <mergeCell ref="Y49:AB49"/>
  </mergeCells>
  <conditionalFormatting sqref="R1:BM1048576">
    <cfRule type="cellIs" dxfId="12" priority="11" operator="equal">
      <formula>"A"</formula>
    </cfRule>
    <cfRule type="cellIs" dxfId="11" priority="12" operator="equal">
      <formula>"P"</formula>
    </cfRule>
    <cfRule type="cellIs" dxfId="10" priority="13" operator="equal">
      <formula>"D"</formula>
    </cfRule>
  </conditionalFormatting>
  <conditionalFormatting sqref="P4:Q6">
    <cfRule type="cellIs" dxfId="9" priority="8" operator="equal">
      <formula>"A"</formula>
    </cfRule>
    <cfRule type="cellIs" dxfId="8" priority="9" operator="equal">
      <formula>"P"</formula>
    </cfRule>
    <cfRule type="cellIs" dxfId="7" priority="10" operator="equal">
      <formula>"D"</formula>
    </cfRule>
  </conditionalFormatting>
  <conditionalFormatting sqref="P7:Q20">
    <cfRule type="cellIs" dxfId="6" priority="5" operator="equal">
      <formula>"A"</formula>
    </cfRule>
    <cfRule type="cellIs" dxfId="5" priority="6" operator="equal">
      <formula>"P"</formula>
    </cfRule>
    <cfRule type="cellIs" dxfId="4" priority="7" operator="equal">
      <formula>"D"</formula>
    </cfRule>
  </conditionalFormatting>
  <conditionalFormatting sqref="P28:Q35">
    <cfRule type="cellIs" dxfId="3" priority="2" operator="equal">
      <formula>"A"</formula>
    </cfRule>
    <cfRule type="cellIs" dxfId="2" priority="3" operator="equal">
      <formula>"P"</formula>
    </cfRule>
    <cfRule type="cellIs" dxfId="1" priority="4" operator="equal">
      <formula>"D"</formula>
    </cfRule>
  </conditionalFormatting>
  <conditionalFormatting sqref="P1:BM1048576">
    <cfRule type="cellIs" dxfId="0" priority="1" operator="equal">
      <formula>"f"</formula>
    </cfRule>
  </conditionalFormatting>
  <pageMargins left="0.19791666666666666" right="0.14583333333333334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6C469-E04D-4785-9771-C532E774D71B}">
  <dimension ref="A2:B11"/>
  <sheetViews>
    <sheetView workbookViewId="0">
      <selection activeCell="B7" sqref="A7:B7"/>
    </sheetView>
  </sheetViews>
  <sheetFormatPr baseColWidth="10" defaultRowHeight="15" x14ac:dyDescent="0.25"/>
  <cols>
    <col min="1" max="1" width="13.28515625" bestFit="1" customWidth="1"/>
  </cols>
  <sheetData>
    <row r="2" spans="1:2" x14ac:dyDescent="0.25">
      <c r="A2" t="s">
        <v>394</v>
      </c>
      <c r="B2" t="s">
        <v>428</v>
      </c>
    </row>
    <row r="3" spans="1:2" x14ac:dyDescent="0.25">
      <c r="A3" t="s">
        <v>429</v>
      </c>
      <c r="B3" t="s">
        <v>430</v>
      </c>
    </row>
    <row r="4" spans="1:2" x14ac:dyDescent="0.25">
      <c r="A4" t="s">
        <v>426</v>
      </c>
      <c r="B4" t="s">
        <v>427</v>
      </c>
    </row>
    <row r="5" spans="1:2" x14ac:dyDescent="0.25">
      <c r="A5" t="s">
        <v>424</v>
      </c>
      <c r="B5" t="s">
        <v>425</v>
      </c>
    </row>
    <row r="6" spans="1:2" x14ac:dyDescent="0.25">
      <c r="A6" t="s">
        <v>422</v>
      </c>
      <c r="B6" t="s">
        <v>423</v>
      </c>
    </row>
    <row r="7" spans="1:2" x14ac:dyDescent="0.25">
      <c r="A7" t="s">
        <v>420</v>
      </c>
      <c r="B7" t="s">
        <v>421</v>
      </c>
    </row>
    <row r="8" spans="1:2" x14ac:dyDescent="0.25">
      <c r="A8" t="s">
        <v>431</v>
      </c>
      <c r="B8" t="s">
        <v>432</v>
      </c>
    </row>
    <row r="9" spans="1:2" x14ac:dyDescent="0.25">
      <c r="A9" t="s">
        <v>433</v>
      </c>
      <c r="B9" t="s">
        <v>434</v>
      </c>
    </row>
    <row r="10" spans="1:2" x14ac:dyDescent="0.25">
      <c r="A10" t="s">
        <v>435</v>
      </c>
      <c r="B10" t="s">
        <v>432</v>
      </c>
    </row>
    <row r="11" spans="1:2" x14ac:dyDescent="0.25">
      <c r="A11" t="s">
        <v>436</v>
      </c>
      <c r="B11" t="s">
        <v>434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10FC5-C8DB-4F36-8354-CE6F70A11E80}">
  <sheetPr>
    <tabColor rgb="FF00B050"/>
  </sheetPr>
  <dimension ref="A1:AH59"/>
  <sheetViews>
    <sheetView showGridLines="0" zoomScale="60" zoomScaleNormal="60" workbookViewId="0">
      <pane xSplit="7" ySplit="2" topLeftCell="H3" activePane="bottomRight" state="frozen"/>
      <selection pane="topRight" activeCell="G1" sqref="G1"/>
      <selection pane="bottomLeft" activeCell="A3" sqref="A3"/>
      <selection pane="bottomRight" activeCell="F7" sqref="F7"/>
    </sheetView>
  </sheetViews>
  <sheetFormatPr baseColWidth="10" defaultColWidth="11.42578125" defaultRowHeight="15" x14ac:dyDescent="0.25"/>
  <cols>
    <col min="1" max="1" width="11.42578125" style="9"/>
    <col min="2" max="2" width="60.42578125" style="9" customWidth="1"/>
    <col min="3" max="4" width="19.140625" style="9" customWidth="1"/>
    <col min="5" max="5" width="17.42578125" style="9" bestFit="1" customWidth="1"/>
    <col min="6" max="6" width="21.42578125" style="9" customWidth="1"/>
    <col min="7" max="7" width="26.5703125" style="9" hidden="1" customWidth="1"/>
    <col min="8" max="8" width="49" style="9" customWidth="1"/>
    <col min="9" max="9" width="30.85546875" style="9" customWidth="1"/>
    <col min="10" max="10" width="22.85546875" style="9" customWidth="1"/>
    <col min="11" max="11" width="37.42578125" style="9" customWidth="1"/>
    <col min="12" max="12" width="12" style="59" customWidth="1"/>
    <col min="13" max="13" width="9.28515625" style="59" customWidth="1"/>
    <col min="14" max="15" width="24.28515625" style="9" customWidth="1"/>
    <col min="16" max="16" width="13.7109375" style="9" customWidth="1"/>
    <col min="17" max="17" width="22.5703125" style="9" customWidth="1"/>
    <col min="18" max="18" width="16.28515625" style="9" customWidth="1"/>
    <col min="19" max="19" width="45.85546875" style="9" customWidth="1"/>
    <col min="20" max="31" width="10.140625" style="7" customWidth="1"/>
    <col min="32" max="32" width="11.42578125" style="9"/>
    <col min="33" max="33" width="15.7109375" style="9" customWidth="1"/>
    <col min="34" max="16384" width="11.42578125" style="9"/>
  </cols>
  <sheetData>
    <row r="1" spans="1:34" x14ac:dyDescent="0.25">
      <c r="AG1" s="9" t="s">
        <v>69</v>
      </c>
      <c r="AH1" s="9">
        <v>4.0999999999999996</v>
      </c>
    </row>
    <row r="2" spans="1:34" s="7" customFormat="1" ht="46.5" x14ac:dyDescent="0.25">
      <c r="B2" s="2" t="s">
        <v>49</v>
      </c>
      <c r="C2" s="64" t="s">
        <v>43</v>
      </c>
      <c r="D2" s="64" t="s">
        <v>158</v>
      </c>
      <c r="E2" s="64" t="s">
        <v>29</v>
      </c>
      <c r="F2" s="64" t="s">
        <v>47</v>
      </c>
      <c r="G2" s="2" t="s">
        <v>46</v>
      </c>
      <c r="H2" s="2" t="s">
        <v>24</v>
      </c>
      <c r="I2" s="2" t="s">
        <v>23</v>
      </c>
      <c r="J2" s="2" t="s">
        <v>48</v>
      </c>
      <c r="K2" s="3" t="s">
        <v>55</v>
      </c>
      <c r="L2" s="60" t="s">
        <v>30</v>
      </c>
      <c r="M2" s="60" t="s">
        <v>160</v>
      </c>
      <c r="N2" s="3" t="s">
        <v>31</v>
      </c>
      <c r="O2" s="3" t="s">
        <v>51</v>
      </c>
      <c r="P2" s="2" t="s">
        <v>26</v>
      </c>
      <c r="Q2" s="2" t="s">
        <v>22</v>
      </c>
      <c r="R2" s="4" t="s">
        <v>21</v>
      </c>
      <c r="S2" s="4" t="s">
        <v>70</v>
      </c>
      <c r="T2" s="73">
        <v>44562</v>
      </c>
      <c r="U2" s="73">
        <v>44593</v>
      </c>
      <c r="V2" s="73">
        <v>44621</v>
      </c>
      <c r="W2" s="73">
        <v>44652</v>
      </c>
      <c r="X2" s="73">
        <v>44682</v>
      </c>
      <c r="Y2" s="73">
        <v>44713</v>
      </c>
      <c r="Z2" s="73">
        <v>44743</v>
      </c>
      <c r="AA2" s="73">
        <v>44774</v>
      </c>
      <c r="AB2" s="73">
        <v>44805</v>
      </c>
      <c r="AC2" s="73">
        <v>44835</v>
      </c>
      <c r="AD2" s="73">
        <v>44866</v>
      </c>
      <c r="AE2" s="73">
        <v>44896</v>
      </c>
      <c r="AF2" s="6" t="s">
        <v>32</v>
      </c>
      <c r="AG2" s="6" t="s">
        <v>140</v>
      </c>
    </row>
    <row r="3" spans="1:34" ht="28.5" x14ac:dyDescent="0.25">
      <c r="A3" s="9">
        <v>6</v>
      </c>
      <c r="B3" s="8" t="s">
        <v>145</v>
      </c>
      <c r="C3" s="8" t="s">
        <v>42</v>
      </c>
      <c r="D3" s="8" t="s">
        <v>27</v>
      </c>
      <c r="E3" s="8" t="s">
        <v>41</v>
      </c>
      <c r="F3" s="8" t="s">
        <v>28</v>
      </c>
      <c r="G3" s="8" t="s">
        <v>17</v>
      </c>
      <c r="H3" s="152"/>
      <c r="I3" s="152"/>
      <c r="J3" s="152" t="s">
        <v>42</v>
      </c>
      <c r="K3" s="152"/>
      <c r="L3" s="153" t="s">
        <v>108</v>
      </c>
      <c r="M3" s="153" t="s">
        <v>161</v>
      </c>
      <c r="N3" s="32"/>
      <c r="O3" s="8"/>
      <c r="P3" s="8"/>
      <c r="Q3" s="8" t="s">
        <v>103</v>
      </c>
      <c r="R3" s="8" t="s">
        <v>1</v>
      </c>
      <c r="S3" s="8" t="s">
        <v>291</v>
      </c>
      <c r="T3" s="71"/>
      <c r="U3" s="71"/>
      <c r="V3" s="71"/>
      <c r="W3" s="71"/>
      <c r="X3" s="158"/>
      <c r="Y3" s="158"/>
      <c r="Z3" s="158"/>
      <c r="AA3" s="158"/>
      <c r="AB3" s="158"/>
      <c r="AC3" s="158"/>
      <c r="AD3" s="158"/>
      <c r="AE3" s="158"/>
      <c r="AF3" s="39">
        <f t="shared" ref="AF3:AF16" si="0">SUBTOTAL(9,T3:AE3)</f>
        <v>0</v>
      </c>
      <c r="AG3" s="39">
        <f t="shared" ref="AG3:AG26" si="1">IF(R3="Dólar",AF3*$AH$1,AF3)</f>
        <v>0</v>
      </c>
    </row>
    <row r="4" spans="1:34" s="10" customFormat="1" ht="28.5" x14ac:dyDescent="0.25">
      <c r="A4" s="9">
        <v>30</v>
      </c>
      <c r="B4" s="8" t="s">
        <v>93</v>
      </c>
      <c r="C4" s="8" t="s">
        <v>95</v>
      </c>
      <c r="D4" s="8" t="s">
        <v>187</v>
      </c>
      <c r="E4" s="8" t="s">
        <v>41</v>
      </c>
      <c r="F4" s="8" t="s">
        <v>187</v>
      </c>
      <c r="G4" s="8" t="s">
        <v>20</v>
      </c>
      <c r="H4" s="152" t="s">
        <v>101</v>
      </c>
      <c r="I4" s="152" t="s">
        <v>102</v>
      </c>
      <c r="J4" s="152" t="s">
        <v>5</v>
      </c>
      <c r="K4" s="152"/>
      <c r="L4" s="153" t="s">
        <v>110</v>
      </c>
      <c r="M4" s="153" t="s">
        <v>161</v>
      </c>
      <c r="N4" s="32"/>
      <c r="O4" s="32"/>
      <c r="P4" s="8"/>
      <c r="Q4" s="31" t="s">
        <v>296</v>
      </c>
      <c r="R4" s="8" t="s">
        <v>1</v>
      </c>
      <c r="S4" s="33"/>
      <c r="T4" s="71"/>
      <c r="U4" s="71"/>
      <c r="V4" s="71">
        <v>2000</v>
      </c>
      <c r="W4" s="71">
        <v>2000</v>
      </c>
      <c r="X4" s="71"/>
      <c r="Y4" s="71"/>
      <c r="Z4" s="71"/>
      <c r="AA4" s="71"/>
      <c r="AB4" s="71"/>
      <c r="AC4" s="71"/>
      <c r="AD4" s="71"/>
      <c r="AE4" s="71"/>
      <c r="AF4" s="39">
        <f t="shared" si="0"/>
        <v>4000</v>
      </c>
      <c r="AG4" s="39">
        <f t="shared" si="1"/>
        <v>4000</v>
      </c>
    </row>
    <row r="5" spans="1:34" s="11" customFormat="1" ht="28.5" x14ac:dyDescent="0.25">
      <c r="A5" s="9">
        <v>1</v>
      </c>
      <c r="B5" s="8" t="s">
        <v>286</v>
      </c>
      <c r="C5" s="8" t="s">
        <v>44</v>
      </c>
      <c r="D5" s="8" t="s">
        <v>28</v>
      </c>
      <c r="E5" s="8" t="s">
        <v>41</v>
      </c>
      <c r="F5" s="8" t="s">
        <v>28</v>
      </c>
      <c r="G5" s="8" t="s">
        <v>20</v>
      </c>
      <c r="H5" s="152" t="s">
        <v>20</v>
      </c>
      <c r="I5" s="152" t="s">
        <v>19</v>
      </c>
      <c r="J5" s="152" t="s">
        <v>147</v>
      </c>
      <c r="K5" s="152" t="s">
        <v>287</v>
      </c>
      <c r="L5" s="153" t="s">
        <v>108</v>
      </c>
      <c r="M5" s="153" t="s">
        <v>163</v>
      </c>
      <c r="N5" s="32"/>
      <c r="O5" s="32"/>
      <c r="P5" s="8" t="s">
        <v>25</v>
      </c>
      <c r="Q5" s="8" t="s">
        <v>18</v>
      </c>
      <c r="R5" s="8" t="s">
        <v>2</v>
      </c>
      <c r="S5" s="35"/>
      <c r="T5" s="71">
        <v>1800</v>
      </c>
      <c r="U5" s="71">
        <v>1800</v>
      </c>
      <c r="V5" s="71">
        <v>500</v>
      </c>
      <c r="W5" s="71"/>
      <c r="X5" s="71"/>
      <c r="Y5" s="71"/>
      <c r="Z5" s="71"/>
      <c r="AA5" s="71"/>
      <c r="AB5" s="71"/>
      <c r="AC5" s="71"/>
      <c r="AD5" s="71"/>
      <c r="AE5" s="71"/>
      <c r="AF5" s="39">
        <f t="shared" si="0"/>
        <v>4100</v>
      </c>
      <c r="AG5" s="39">
        <f t="shared" si="1"/>
        <v>16810</v>
      </c>
    </row>
    <row r="6" spans="1:34" s="11" customFormat="1" ht="28.5" x14ac:dyDescent="0.25">
      <c r="A6" s="9">
        <v>16</v>
      </c>
      <c r="B6" s="8" t="s">
        <v>326</v>
      </c>
      <c r="C6" s="8" t="s">
        <v>95</v>
      </c>
      <c r="D6" s="8" t="s">
        <v>187</v>
      </c>
      <c r="E6" s="8" t="s">
        <v>41</v>
      </c>
      <c r="F6" s="8" t="s">
        <v>187</v>
      </c>
      <c r="G6" s="8" t="s">
        <v>20</v>
      </c>
      <c r="H6" s="152" t="s">
        <v>101</v>
      </c>
      <c r="I6" s="152" t="s">
        <v>102</v>
      </c>
      <c r="J6" s="152" t="s">
        <v>106</v>
      </c>
      <c r="K6" s="152"/>
      <c r="L6" s="153" t="s">
        <v>109</v>
      </c>
      <c r="M6" s="153" t="s">
        <v>162</v>
      </c>
      <c r="N6" s="32"/>
      <c r="O6" s="32"/>
      <c r="P6" s="34"/>
      <c r="Q6" s="8" t="s">
        <v>103</v>
      </c>
      <c r="R6" s="8" t="s">
        <v>1</v>
      </c>
      <c r="S6" s="35"/>
      <c r="T6" s="71"/>
      <c r="U6" s="71">
        <v>3000</v>
      </c>
      <c r="V6" s="71">
        <v>3000</v>
      </c>
      <c r="W6" s="71">
        <v>3000</v>
      </c>
      <c r="X6" s="71">
        <v>3000</v>
      </c>
      <c r="Y6" s="71">
        <v>3000</v>
      </c>
      <c r="Z6" s="71">
        <v>2000</v>
      </c>
      <c r="AA6" s="71"/>
      <c r="AB6" s="71"/>
      <c r="AC6" s="71"/>
      <c r="AD6" s="71"/>
      <c r="AE6" s="71"/>
      <c r="AF6" s="39">
        <f t="shared" si="0"/>
        <v>17000</v>
      </c>
      <c r="AG6" s="39">
        <f t="shared" si="1"/>
        <v>17000</v>
      </c>
    </row>
    <row r="7" spans="1:34" s="10" customFormat="1" ht="28.5" x14ac:dyDescent="0.25">
      <c r="A7" s="9">
        <v>2</v>
      </c>
      <c r="B7" s="8" t="s">
        <v>117</v>
      </c>
      <c r="C7" s="8" t="s">
        <v>166</v>
      </c>
      <c r="D7" s="8" t="s">
        <v>167</v>
      </c>
      <c r="E7" s="8" t="s">
        <v>41</v>
      </c>
      <c r="F7" s="8" t="s">
        <v>28</v>
      </c>
      <c r="G7" s="8" t="s">
        <v>17</v>
      </c>
      <c r="H7" s="152" t="s">
        <v>16</v>
      </c>
      <c r="I7" s="152" t="s">
        <v>115</v>
      </c>
      <c r="J7" s="152" t="s">
        <v>106</v>
      </c>
      <c r="K7" s="152" t="s">
        <v>119</v>
      </c>
      <c r="L7" s="153" t="s">
        <v>108</v>
      </c>
      <c r="M7" s="153" t="s">
        <v>163</v>
      </c>
      <c r="N7" s="32"/>
      <c r="O7" s="32"/>
      <c r="P7" s="8"/>
      <c r="Q7" s="8" t="s">
        <v>118</v>
      </c>
      <c r="R7" s="8" t="s">
        <v>1</v>
      </c>
      <c r="S7" s="33"/>
      <c r="T7" s="71"/>
      <c r="U7" s="71"/>
      <c r="V7" s="71"/>
      <c r="W7" s="71">
        <v>4500</v>
      </c>
      <c r="X7" s="71">
        <v>4500</v>
      </c>
      <c r="Y7" s="71">
        <v>4500</v>
      </c>
      <c r="Z7" s="71">
        <v>4500</v>
      </c>
      <c r="AA7" s="71">
        <v>4500</v>
      </c>
      <c r="AB7" s="71">
        <v>4500</v>
      </c>
      <c r="AC7" s="71"/>
      <c r="AD7" s="71"/>
      <c r="AE7" s="71"/>
      <c r="AF7" s="39">
        <f t="shared" si="0"/>
        <v>27000</v>
      </c>
      <c r="AG7" s="39">
        <f t="shared" si="1"/>
        <v>27000</v>
      </c>
    </row>
    <row r="8" spans="1:34" s="10" customFormat="1" ht="15.75" x14ac:dyDescent="0.25">
      <c r="A8" s="9">
        <v>32</v>
      </c>
      <c r="B8" s="8" t="s">
        <v>311</v>
      </c>
      <c r="C8" s="8" t="s">
        <v>168</v>
      </c>
      <c r="D8" s="8" t="s">
        <v>169</v>
      </c>
      <c r="E8" s="8" t="s">
        <v>41</v>
      </c>
      <c r="F8" s="8" t="s">
        <v>28</v>
      </c>
      <c r="G8" s="8" t="s">
        <v>17</v>
      </c>
      <c r="H8" s="152" t="s">
        <v>16</v>
      </c>
      <c r="I8" s="152" t="s">
        <v>115</v>
      </c>
      <c r="J8" s="152" t="s">
        <v>148</v>
      </c>
      <c r="K8" s="152" t="s">
        <v>295</v>
      </c>
      <c r="L8" s="153" t="s">
        <v>111</v>
      </c>
      <c r="M8" s="153" t="s">
        <v>163</v>
      </c>
      <c r="N8" s="32"/>
      <c r="O8" s="32"/>
      <c r="P8" s="8"/>
      <c r="Q8" s="8" t="s">
        <v>118</v>
      </c>
      <c r="R8" s="8" t="s">
        <v>1</v>
      </c>
      <c r="S8" s="33"/>
      <c r="T8" s="71"/>
      <c r="U8" s="71"/>
      <c r="V8" s="71"/>
      <c r="W8" s="71"/>
      <c r="X8" s="71"/>
      <c r="Y8" s="71"/>
      <c r="Z8" s="71"/>
      <c r="AA8" s="71"/>
      <c r="AB8" s="71">
        <v>3000</v>
      </c>
      <c r="AC8" s="71">
        <v>3000</v>
      </c>
      <c r="AD8" s="71">
        <v>3000</v>
      </c>
      <c r="AE8" s="71">
        <v>3000</v>
      </c>
      <c r="AF8" s="39">
        <f t="shared" si="0"/>
        <v>12000</v>
      </c>
      <c r="AG8" s="39">
        <f t="shared" si="1"/>
        <v>12000</v>
      </c>
    </row>
    <row r="9" spans="1:34" s="10" customFormat="1" ht="28.5" x14ac:dyDescent="0.25">
      <c r="A9" s="9">
        <v>18</v>
      </c>
      <c r="B9" s="8" t="s">
        <v>99</v>
      </c>
      <c r="C9" s="8" t="s">
        <v>45</v>
      </c>
      <c r="D9" s="8" t="s">
        <v>56</v>
      </c>
      <c r="E9" s="8" t="s">
        <v>41</v>
      </c>
      <c r="F9" s="8" t="s">
        <v>56</v>
      </c>
      <c r="G9" s="8" t="s">
        <v>10</v>
      </c>
      <c r="H9" s="152" t="s">
        <v>9</v>
      </c>
      <c r="I9" s="152" t="s">
        <v>11</v>
      </c>
      <c r="J9" s="152" t="s">
        <v>5</v>
      </c>
      <c r="K9" s="152"/>
      <c r="L9" s="153" t="s">
        <v>109</v>
      </c>
      <c r="M9" s="153" t="s">
        <v>162</v>
      </c>
      <c r="N9" s="32"/>
      <c r="O9" s="32"/>
      <c r="P9" s="8"/>
      <c r="Q9" s="8" t="s">
        <v>199</v>
      </c>
      <c r="R9" s="8" t="s">
        <v>2</v>
      </c>
      <c r="S9" s="33"/>
      <c r="T9" s="71"/>
      <c r="U9" s="71"/>
      <c r="V9" s="71">
        <v>1000</v>
      </c>
      <c r="W9" s="71"/>
      <c r="X9" s="71"/>
      <c r="Y9" s="71"/>
      <c r="Z9" s="71"/>
      <c r="AA9" s="71"/>
      <c r="AB9" s="71"/>
      <c r="AC9" s="71"/>
      <c r="AD9" s="71"/>
      <c r="AE9" s="71"/>
      <c r="AF9" s="39">
        <f t="shared" si="0"/>
        <v>1000</v>
      </c>
      <c r="AG9" s="39">
        <f t="shared" si="1"/>
        <v>4100</v>
      </c>
    </row>
    <row r="10" spans="1:34" s="10" customFormat="1" ht="42.75" x14ac:dyDescent="0.25">
      <c r="A10" s="9">
        <v>19</v>
      </c>
      <c r="B10" s="8" t="s">
        <v>177</v>
      </c>
      <c r="C10" s="8" t="s">
        <v>45</v>
      </c>
      <c r="D10" s="8" t="s">
        <v>56</v>
      </c>
      <c r="E10" s="8" t="s">
        <v>41</v>
      </c>
      <c r="F10" s="8" t="s">
        <v>56</v>
      </c>
      <c r="G10" s="8" t="s">
        <v>10</v>
      </c>
      <c r="H10" s="152" t="s">
        <v>9</v>
      </c>
      <c r="I10" s="152" t="s">
        <v>11</v>
      </c>
      <c r="J10" s="152" t="s">
        <v>5</v>
      </c>
      <c r="K10" s="154" t="s">
        <v>120</v>
      </c>
      <c r="L10" s="153" t="s">
        <v>109</v>
      </c>
      <c r="M10" s="153" t="s">
        <v>162</v>
      </c>
      <c r="N10" s="32"/>
      <c r="O10" s="32"/>
      <c r="P10" s="8"/>
      <c r="Q10" s="8" t="s">
        <v>14</v>
      </c>
      <c r="R10" s="8" t="s">
        <v>2</v>
      </c>
      <c r="S10" s="33" t="s">
        <v>126</v>
      </c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39">
        <f t="shared" si="0"/>
        <v>0</v>
      </c>
      <c r="AG10" s="39">
        <f t="shared" si="1"/>
        <v>0</v>
      </c>
    </row>
    <row r="11" spans="1:34" s="10" customFormat="1" ht="28.5" x14ac:dyDescent="0.25">
      <c r="A11" s="9">
        <v>20</v>
      </c>
      <c r="B11" s="8" t="s">
        <v>138</v>
      </c>
      <c r="C11" s="8" t="s">
        <v>45</v>
      </c>
      <c r="D11" s="8" t="s">
        <v>56</v>
      </c>
      <c r="E11" s="8" t="s">
        <v>41</v>
      </c>
      <c r="F11" s="8" t="s">
        <v>56</v>
      </c>
      <c r="G11" s="8" t="s">
        <v>10</v>
      </c>
      <c r="H11" s="152" t="s">
        <v>9</v>
      </c>
      <c r="I11" s="152" t="s">
        <v>11</v>
      </c>
      <c r="J11" s="152" t="s">
        <v>5</v>
      </c>
      <c r="K11" s="152"/>
      <c r="L11" s="153" t="s">
        <v>109</v>
      </c>
      <c r="M11" s="153" t="s">
        <v>162</v>
      </c>
      <c r="N11" s="32"/>
      <c r="O11" s="32"/>
      <c r="P11" s="8"/>
      <c r="Q11" s="8" t="s">
        <v>199</v>
      </c>
      <c r="R11" s="8" t="s">
        <v>1</v>
      </c>
      <c r="S11" s="33"/>
      <c r="T11" s="71"/>
      <c r="U11" s="71"/>
      <c r="V11" s="71"/>
      <c r="W11" s="71">
        <v>8000</v>
      </c>
      <c r="X11" s="71"/>
      <c r="Y11" s="71"/>
      <c r="Z11" s="71">
        <v>8000</v>
      </c>
      <c r="AA11" s="71"/>
      <c r="AB11" s="71"/>
      <c r="AC11" s="71"/>
      <c r="AD11" s="71"/>
      <c r="AE11" s="71"/>
      <c r="AF11" s="39">
        <f t="shared" si="0"/>
        <v>16000</v>
      </c>
      <c r="AG11" s="39">
        <f t="shared" si="1"/>
        <v>16000</v>
      </c>
    </row>
    <row r="12" spans="1:34" s="10" customFormat="1" ht="28.5" x14ac:dyDescent="0.25">
      <c r="A12" s="9">
        <v>21</v>
      </c>
      <c r="B12" s="8" t="s">
        <v>139</v>
      </c>
      <c r="C12" s="8" t="s">
        <v>45</v>
      </c>
      <c r="D12" s="8" t="s">
        <v>56</v>
      </c>
      <c r="E12" s="8" t="s">
        <v>41</v>
      </c>
      <c r="F12" s="8" t="s">
        <v>56</v>
      </c>
      <c r="G12" s="8" t="s">
        <v>10</v>
      </c>
      <c r="H12" s="152" t="s">
        <v>9</v>
      </c>
      <c r="I12" s="152" t="s">
        <v>11</v>
      </c>
      <c r="J12" s="152" t="s">
        <v>5</v>
      </c>
      <c r="K12" s="152"/>
      <c r="L12" s="153" t="s">
        <v>109</v>
      </c>
      <c r="M12" s="153" t="s">
        <v>162</v>
      </c>
      <c r="N12" s="32"/>
      <c r="O12" s="32"/>
      <c r="P12" s="8"/>
      <c r="Q12" s="8" t="s">
        <v>199</v>
      </c>
      <c r="R12" s="8" t="s">
        <v>2</v>
      </c>
      <c r="S12" s="33"/>
      <c r="T12" s="71"/>
      <c r="U12" s="71"/>
      <c r="V12" s="71"/>
      <c r="W12" s="71">
        <v>2500</v>
      </c>
      <c r="X12" s="71"/>
      <c r="Y12" s="71"/>
      <c r="Z12" s="71">
        <v>2500</v>
      </c>
      <c r="AA12" s="71"/>
      <c r="AB12" s="71"/>
      <c r="AC12" s="71"/>
      <c r="AD12" s="71"/>
      <c r="AE12" s="71"/>
      <c r="AF12" s="39">
        <f t="shared" si="0"/>
        <v>5000</v>
      </c>
      <c r="AG12" s="39">
        <f t="shared" si="1"/>
        <v>20500</v>
      </c>
    </row>
    <row r="13" spans="1:34" s="10" customFormat="1" ht="16.5" customHeight="1" x14ac:dyDescent="0.25">
      <c r="A13" s="9">
        <v>35</v>
      </c>
      <c r="B13" s="8" t="s">
        <v>197</v>
      </c>
      <c r="C13" s="8" t="s">
        <v>170</v>
      </c>
      <c r="D13" s="8" t="s">
        <v>171</v>
      </c>
      <c r="E13" s="8" t="s">
        <v>41</v>
      </c>
      <c r="F13" s="8" t="s">
        <v>28</v>
      </c>
      <c r="G13" s="8" t="s">
        <v>4</v>
      </c>
      <c r="H13" s="152" t="s">
        <v>7</v>
      </c>
      <c r="I13" s="152" t="s">
        <v>6</v>
      </c>
      <c r="J13" s="152" t="s">
        <v>149</v>
      </c>
      <c r="K13" s="152" t="s">
        <v>125</v>
      </c>
      <c r="L13" s="153" t="s">
        <v>111</v>
      </c>
      <c r="M13" s="153" t="s">
        <v>161</v>
      </c>
      <c r="N13" s="32"/>
      <c r="O13" s="32"/>
      <c r="P13" s="8" t="s">
        <v>25</v>
      </c>
      <c r="Q13" s="8" t="s">
        <v>18</v>
      </c>
      <c r="R13" s="8" t="s">
        <v>2</v>
      </c>
      <c r="S13" s="33" t="s">
        <v>126</v>
      </c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39">
        <f t="shared" si="0"/>
        <v>0</v>
      </c>
      <c r="AG13" s="39">
        <f t="shared" si="1"/>
        <v>0</v>
      </c>
    </row>
    <row r="14" spans="1:34" ht="28.5" x14ac:dyDescent="0.25">
      <c r="A14" s="9">
        <v>38</v>
      </c>
      <c r="B14" s="8" t="s">
        <v>157</v>
      </c>
      <c r="C14" s="8" t="s">
        <v>42</v>
      </c>
      <c r="D14" s="8" t="s">
        <v>27</v>
      </c>
      <c r="E14" s="8" t="s">
        <v>41</v>
      </c>
      <c r="F14" s="8" t="s">
        <v>27</v>
      </c>
      <c r="G14" s="8" t="s">
        <v>17</v>
      </c>
      <c r="H14" s="152"/>
      <c r="I14" s="155"/>
      <c r="J14" s="152" t="s">
        <v>42</v>
      </c>
      <c r="K14" s="152"/>
      <c r="L14" s="153" t="s">
        <v>111</v>
      </c>
      <c r="M14" s="153" t="s">
        <v>161</v>
      </c>
      <c r="N14" s="32"/>
      <c r="O14" s="32"/>
      <c r="P14" s="31"/>
      <c r="Q14" s="8" t="s">
        <v>103</v>
      </c>
      <c r="R14" s="8" t="s">
        <v>1</v>
      </c>
      <c r="S14" s="8" t="s">
        <v>291</v>
      </c>
      <c r="T14" s="69"/>
      <c r="U14" s="69"/>
      <c r="V14" s="69"/>
      <c r="W14" s="71"/>
      <c r="X14" s="71"/>
      <c r="Y14" s="71"/>
      <c r="Z14" s="69"/>
      <c r="AA14" s="69"/>
      <c r="AB14" s="69"/>
      <c r="AC14" s="71"/>
      <c r="AD14" s="71"/>
      <c r="AE14" s="71"/>
      <c r="AF14" s="39">
        <f t="shared" si="0"/>
        <v>0</v>
      </c>
      <c r="AG14" s="39">
        <f t="shared" si="1"/>
        <v>0</v>
      </c>
    </row>
    <row r="15" spans="1:34" ht="28.5" x14ac:dyDescent="0.25">
      <c r="A15" s="9">
        <v>3</v>
      </c>
      <c r="B15" s="8" t="s">
        <v>174</v>
      </c>
      <c r="C15" s="8" t="s">
        <v>42</v>
      </c>
      <c r="D15" s="8" t="s">
        <v>27</v>
      </c>
      <c r="E15" s="8" t="s">
        <v>41</v>
      </c>
      <c r="F15" s="8" t="s">
        <v>28</v>
      </c>
      <c r="G15" s="8" t="s">
        <v>17</v>
      </c>
      <c r="H15" s="152"/>
      <c r="I15" s="155"/>
      <c r="J15" s="152" t="s">
        <v>42</v>
      </c>
      <c r="K15" s="152"/>
      <c r="L15" s="153" t="s">
        <v>108</v>
      </c>
      <c r="M15" s="153" t="s">
        <v>162</v>
      </c>
      <c r="N15" s="32"/>
      <c r="O15" s="32"/>
      <c r="P15" s="31"/>
      <c r="Q15" s="31" t="s">
        <v>292</v>
      </c>
      <c r="R15" s="8" t="s">
        <v>1</v>
      </c>
      <c r="S15" s="31"/>
      <c r="T15" s="69"/>
      <c r="U15" s="71">
        <v>2500</v>
      </c>
      <c r="V15" s="71">
        <v>2500</v>
      </c>
      <c r="W15" s="71">
        <v>2500</v>
      </c>
      <c r="X15" s="71">
        <v>2500</v>
      </c>
      <c r="Y15" s="71">
        <v>2500</v>
      </c>
      <c r="Z15" s="69"/>
      <c r="AA15" s="69"/>
      <c r="AB15" s="69"/>
      <c r="AC15" s="69"/>
      <c r="AD15" s="69"/>
      <c r="AE15" s="69"/>
      <c r="AF15" s="39">
        <f t="shared" si="0"/>
        <v>12500</v>
      </c>
      <c r="AG15" s="39">
        <f t="shared" si="1"/>
        <v>12500</v>
      </c>
    </row>
    <row r="16" spans="1:34" ht="28.5" x14ac:dyDescent="0.25">
      <c r="A16" s="9">
        <v>31</v>
      </c>
      <c r="B16" s="8" t="s">
        <v>142</v>
      </c>
      <c r="C16" s="8" t="s">
        <v>42</v>
      </c>
      <c r="D16" s="8" t="s">
        <v>27</v>
      </c>
      <c r="E16" s="8" t="s">
        <v>41</v>
      </c>
      <c r="F16" s="8" t="s">
        <v>27</v>
      </c>
      <c r="G16" s="8" t="s">
        <v>17</v>
      </c>
      <c r="H16" s="152"/>
      <c r="I16" s="155"/>
      <c r="J16" s="152" t="s">
        <v>42</v>
      </c>
      <c r="K16" s="152"/>
      <c r="L16" s="153" t="s">
        <v>110</v>
      </c>
      <c r="M16" s="153" t="s">
        <v>161</v>
      </c>
      <c r="N16" s="32"/>
      <c r="O16" s="32"/>
      <c r="P16" s="31"/>
      <c r="Q16" s="8" t="s">
        <v>103</v>
      </c>
      <c r="R16" s="8" t="s">
        <v>1</v>
      </c>
      <c r="S16" s="8" t="s">
        <v>291</v>
      </c>
      <c r="T16" s="69"/>
      <c r="U16" s="69"/>
      <c r="V16" s="69"/>
      <c r="W16" s="71"/>
      <c r="X16" s="71"/>
      <c r="Y16" s="69"/>
      <c r="Z16" s="69"/>
      <c r="AA16" s="71"/>
      <c r="AB16" s="71"/>
      <c r="AC16" s="69"/>
      <c r="AD16" s="69"/>
      <c r="AE16" s="69"/>
      <c r="AF16" s="39">
        <f t="shared" si="0"/>
        <v>0</v>
      </c>
      <c r="AG16" s="39">
        <f t="shared" si="1"/>
        <v>0</v>
      </c>
    </row>
    <row r="17" spans="1:33" ht="28.5" x14ac:dyDescent="0.25">
      <c r="A17" s="9">
        <v>37</v>
      </c>
      <c r="B17" s="8" t="s">
        <v>175</v>
      </c>
      <c r="C17" s="8" t="s">
        <v>42</v>
      </c>
      <c r="D17" s="8" t="s">
        <v>27</v>
      </c>
      <c r="E17" s="8" t="s">
        <v>41</v>
      </c>
      <c r="F17" s="8" t="s">
        <v>27</v>
      </c>
      <c r="G17" s="8" t="s">
        <v>17</v>
      </c>
      <c r="H17" s="152"/>
      <c r="I17" s="155"/>
      <c r="J17" s="152" t="s">
        <v>42</v>
      </c>
      <c r="K17" s="152"/>
      <c r="L17" s="153" t="s">
        <v>111</v>
      </c>
      <c r="M17" s="153" t="s">
        <v>162</v>
      </c>
      <c r="N17" s="32"/>
      <c r="O17" s="32"/>
      <c r="P17" s="31"/>
      <c r="Q17" s="8" t="s">
        <v>103</v>
      </c>
      <c r="R17" s="8" t="s">
        <v>1</v>
      </c>
      <c r="S17" s="8" t="s">
        <v>291</v>
      </c>
      <c r="T17" s="69"/>
      <c r="U17" s="69"/>
      <c r="V17" s="69"/>
      <c r="W17" s="69"/>
      <c r="X17" s="69"/>
      <c r="Y17" s="69"/>
      <c r="Z17" s="69"/>
      <c r="AA17" s="69"/>
      <c r="AB17" s="69"/>
      <c r="AC17" s="71"/>
      <c r="AD17" s="71"/>
      <c r="AE17" s="71"/>
      <c r="AF17" s="39">
        <f t="shared" ref="AF17" si="2">SUBTOTAL(9,T17:AE17)</f>
        <v>0</v>
      </c>
      <c r="AG17" s="39">
        <f t="shared" si="1"/>
        <v>0</v>
      </c>
    </row>
    <row r="18" spans="1:33" ht="28.5" x14ac:dyDescent="0.25">
      <c r="A18" s="9">
        <v>27</v>
      </c>
      <c r="B18" s="8" t="s">
        <v>143</v>
      </c>
      <c r="C18" s="8" t="s">
        <v>42</v>
      </c>
      <c r="D18" s="8" t="s">
        <v>27</v>
      </c>
      <c r="E18" s="8" t="s">
        <v>41</v>
      </c>
      <c r="F18" s="8" t="s">
        <v>28</v>
      </c>
      <c r="G18" s="8" t="s">
        <v>17</v>
      </c>
      <c r="H18" s="152"/>
      <c r="I18" s="155"/>
      <c r="J18" s="152" t="s">
        <v>42</v>
      </c>
      <c r="K18" s="152"/>
      <c r="L18" s="153" t="s">
        <v>110</v>
      </c>
      <c r="M18" s="153" t="s">
        <v>162</v>
      </c>
      <c r="N18" s="32"/>
      <c r="O18" s="8"/>
      <c r="P18" s="31"/>
      <c r="Q18" s="8" t="s">
        <v>103</v>
      </c>
      <c r="R18" s="8" t="s">
        <v>1</v>
      </c>
      <c r="S18" s="31"/>
      <c r="T18" s="69"/>
      <c r="U18" s="69"/>
      <c r="V18" s="69"/>
      <c r="W18" s="69"/>
      <c r="X18" s="69"/>
      <c r="Y18" s="69"/>
      <c r="Z18" s="71">
        <v>2000</v>
      </c>
      <c r="AA18" s="71">
        <v>2000</v>
      </c>
      <c r="AB18" s="71"/>
      <c r="AC18" s="69"/>
      <c r="AD18" s="69"/>
      <c r="AE18" s="69"/>
      <c r="AF18" s="39">
        <f t="shared" ref="AF18:AF25" si="3">SUBTOTAL(9,T18:AE18)</f>
        <v>4000</v>
      </c>
      <c r="AG18" s="39">
        <f t="shared" si="1"/>
        <v>4000</v>
      </c>
    </row>
    <row r="19" spans="1:33" ht="28.5" x14ac:dyDescent="0.25">
      <c r="A19" s="9">
        <v>28</v>
      </c>
      <c r="B19" s="8" t="s">
        <v>144</v>
      </c>
      <c r="C19" s="8" t="s">
        <v>42</v>
      </c>
      <c r="D19" s="8" t="s">
        <v>27</v>
      </c>
      <c r="E19" s="8" t="s">
        <v>41</v>
      </c>
      <c r="F19" s="8" t="s">
        <v>28</v>
      </c>
      <c r="G19" s="8" t="s">
        <v>17</v>
      </c>
      <c r="H19" s="155"/>
      <c r="I19" s="155"/>
      <c r="J19" s="152" t="s">
        <v>42</v>
      </c>
      <c r="K19" s="152"/>
      <c r="L19" s="153" t="s">
        <v>110</v>
      </c>
      <c r="M19" s="153" t="s">
        <v>162</v>
      </c>
      <c r="N19" s="32"/>
      <c r="O19" s="8"/>
      <c r="P19" s="31"/>
      <c r="Q19" s="8" t="s">
        <v>103</v>
      </c>
      <c r="R19" s="8" t="s">
        <v>1</v>
      </c>
      <c r="S19" s="31"/>
      <c r="T19" s="69"/>
      <c r="U19" s="69"/>
      <c r="V19" s="69"/>
      <c r="W19" s="69"/>
      <c r="X19" s="69"/>
      <c r="Y19" s="69"/>
      <c r="Z19" s="71">
        <v>2000</v>
      </c>
      <c r="AA19" s="71">
        <v>2000</v>
      </c>
      <c r="AB19" s="71"/>
      <c r="AC19" s="69"/>
      <c r="AD19" s="69"/>
      <c r="AE19" s="69"/>
      <c r="AF19" s="39">
        <f t="shared" si="3"/>
        <v>4000</v>
      </c>
      <c r="AG19" s="39">
        <f t="shared" si="1"/>
        <v>4000</v>
      </c>
    </row>
    <row r="20" spans="1:33" ht="28.5" x14ac:dyDescent="0.25">
      <c r="A20" s="9">
        <v>10</v>
      </c>
      <c r="B20" s="8" t="s">
        <v>92</v>
      </c>
      <c r="C20" s="8" t="s">
        <v>44</v>
      </c>
      <c r="D20" s="8" t="s">
        <v>28</v>
      </c>
      <c r="E20" s="8" t="s">
        <v>41</v>
      </c>
      <c r="F20" s="8" t="s">
        <v>28</v>
      </c>
      <c r="G20" s="8" t="s">
        <v>17</v>
      </c>
      <c r="H20" s="155"/>
      <c r="I20" s="155"/>
      <c r="J20" s="152" t="s">
        <v>146</v>
      </c>
      <c r="K20" s="152" t="s">
        <v>309</v>
      </c>
      <c r="L20" s="153" t="s">
        <v>109</v>
      </c>
      <c r="M20" s="153" t="s">
        <v>163</v>
      </c>
      <c r="N20" s="32"/>
      <c r="O20" s="32"/>
      <c r="P20" s="31"/>
      <c r="Q20" s="8" t="s">
        <v>118</v>
      </c>
      <c r="R20" s="8" t="s">
        <v>1</v>
      </c>
      <c r="S20" s="31"/>
      <c r="T20" s="69"/>
      <c r="U20" s="71"/>
      <c r="V20" s="71">
        <v>7000</v>
      </c>
      <c r="W20" s="71">
        <v>3500</v>
      </c>
      <c r="X20" s="71">
        <v>3500</v>
      </c>
      <c r="Y20" s="71">
        <v>3500</v>
      </c>
      <c r="Z20" s="71">
        <v>3500</v>
      </c>
      <c r="AA20" s="71">
        <v>3500</v>
      </c>
      <c r="AB20" s="71">
        <v>3500</v>
      </c>
      <c r="AC20" s="71">
        <v>4500</v>
      </c>
      <c r="AD20" s="71">
        <v>4500</v>
      </c>
      <c r="AE20" s="71"/>
      <c r="AF20" s="39">
        <f>SUBTOTAL(9,T20:AE20)</f>
        <v>37000</v>
      </c>
      <c r="AG20" s="39">
        <f>IF(R20="Dólar",AF20*$AH$1,AF20)</f>
        <v>37000</v>
      </c>
    </row>
    <row r="21" spans="1:33" ht="28.5" x14ac:dyDescent="0.25">
      <c r="A21" s="9">
        <v>14</v>
      </c>
      <c r="B21" s="8" t="s">
        <v>176</v>
      </c>
      <c r="C21" s="8" t="s">
        <v>44</v>
      </c>
      <c r="D21" s="8" t="s">
        <v>28</v>
      </c>
      <c r="E21" s="8" t="s">
        <v>41</v>
      </c>
      <c r="F21" s="8" t="s">
        <v>28</v>
      </c>
      <c r="G21" s="8" t="s">
        <v>20</v>
      </c>
      <c r="H21" s="152" t="s">
        <v>3</v>
      </c>
      <c r="I21" s="152" t="s">
        <v>3</v>
      </c>
      <c r="J21" s="152" t="s">
        <v>5</v>
      </c>
      <c r="K21" s="152" t="s">
        <v>52</v>
      </c>
      <c r="L21" s="153" t="s">
        <v>109</v>
      </c>
      <c r="M21" s="153" t="s">
        <v>161</v>
      </c>
      <c r="N21" s="32"/>
      <c r="O21" s="32"/>
      <c r="P21" s="31"/>
      <c r="Q21" s="8" t="s">
        <v>118</v>
      </c>
      <c r="R21" s="8" t="s">
        <v>1</v>
      </c>
      <c r="S21" s="31"/>
      <c r="T21" s="69"/>
      <c r="U21" s="69"/>
      <c r="V21" s="69"/>
      <c r="W21" s="69"/>
      <c r="X21" s="69"/>
      <c r="Y21" s="71">
        <v>4500</v>
      </c>
      <c r="Z21" s="69"/>
      <c r="AA21" s="69"/>
      <c r="AB21" s="69"/>
      <c r="AC21" s="71">
        <v>4500</v>
      </c>
      <c r="AD21" s="69"/>
      <c r="AE21" s="69"/>
      <c r="AF21" s="39">
        <f t="shared" si="3"/>
        <v>9000</v>
      </c>
      <c r="AG21" s="39">
        <f t="shared" si="1"/>
        <v>9000</v>
      </c>
    </row>
    <row r="22" spans="1:33" ht="28.5" x14ac:dyDescent="0.25">
      <c r="A22" s="9">
        <v>11</v>
      </c>
      <c r="B22" s="8" t="s">
        <v>54</v>
      </c>
      <c r="C22" s="8" t="s">
        <v>172</v>
      </c>
      <c r="D22" s="8" t="s">
        <v>173</v>
      </c>
      <c r="E22" s="8" t="s">
        <v>41</v>
      </c>
      <c r="F22" s="8" t="s">
        <v>28</v>
      </c>
      <c r="G22" s="8" t="s">
        <v>17</v>
      </c>
      <c r="H22" s="152" t="s">
        <v>3</v>
      </c>
      <c r="I22" s="152" t="s">
        <v>3</v>
      </c>
      <c r="J22" s="152" t="s">
        <v>150</v>
      </c>
      <c r="K22" s="152"/>
      <c r="L22" s="153" t="s">
        <v>109</v>
      </c>
      <c r="M22" s="153" t="s">
        <v>163</v>
      </c>
      <c r="N22" s="32"/>
      <c r="O22" s="32"/>
      <c r="P22" s="31"/>
      <c r="Q22" s="31" t="s">
        <v>294</v>
      </c>
      <c r="R22" s="8" t="s">
        <v>2</v>
      </c>
      <c r="S22" s="31"/>
      <c r="T22" s="69"/>
      <c r="U22" s="69"/>
      <c r="V22" s="69"/>
      <c r="W22" s="69"/>
      <c r="X22" s="71">
        <v>2000</v>
      </c>
      <c r="Y22" s="71">
        <v>2000</v>
      </c>
      <c r="Z22" s="71">
        <v>1000</v>
      </c>
      <c r="AA22" s="69"/>
      <c r="AB22" s="69"/>
      <c r="AC22" s="69"/>
      <c r="AD22" s="69"/>
      <c r="AE22" s="69"/>
      <c r="AF22" s="39">
        <f t="shared" si="3"/>
        <v>5000</v>
      </c>
      <c r="AG22" s="39">
        <f t="shared" si="1"/>
        <v>20500</v>
      </c>
    </row>
    <row r="23" spans="1:33" ht="15.75" x14ac:dyDescent="0.25">
      <c r="A23" s="9">
        <v>12</v>
      </c>
      <c r="B23" s="8" t="s">
        <v>113</v>
      </c>
      <c r="C23" s="8" t="s">
        <v>44</v>
      </c>
      <c r="D23" s="8" t="s">
        <v>28</v>
      </c>
      <c r="E23" s="8" t="s">
        <v>41</v>
      </c>
      <c r="F23" s="8" t="s">
        <v>28</v>
      </c>
      <c r="G23" s="8" t="s">
        <v>20</v>
      </c>
      <c r="H23" s="152" t="s">
        <v>20</v>
      </c>
      <c r="I23" s="152" t="s">
        <v>3</v>
      </c>
      <c r="J23" s="152" t="s">
        <v>148</v>
      </c>
      <c r="K23" s="152"/>
      <c r="L23" s="153" t="s">
        <v>109</v>
      </c>
      <c r="M23" s="153" t="s">
        <v>162</v>
      </c>
      <c r="N23" s="32"/>
      <c r="O23" s="32"/>
      <c r="P23" s="34"/>
      <c r="Q23" s="8" t="s">
        <v>18</v>
      </c>
      <c r="R23" s="8" t="s">
        <v>2</v>
      </c>
      <c r="S23" s="35"/>
      <c r="T23" s="71"/>
      <c r="U23" s="71"/>
      <c r="V23" s="71"/>
      <c r="W23" s="71">
        <v>2500</v>
      </c>
      <c r="X23" s="71"/>
      <c r="Y23" s="71"/>
      <c r="Z23" s="71"/>
      <c r="AA23" s="71"/>
      <c r="AB23" s="71"/>
      <c r="AC23" s="71"/>
      <c r="AD23" s="71"/>
      <c r="AE23" s="71"/>
      <c r="AF23" s="39">
        <f t="shared" si="3"/>
        <v>2500</v>
      </c>
      <c r="AG23" s="39">
        <f t="shared" si="1"/>
        <v>10250</v>
      </c>
    </row>
    <row r="24" spans="1:33" s="10" customFormat="1" ht="16.5" customHeight="1" x14ac:dyDescent="0.25">
      <c r="A24" s="9">
        <v>36</v>
      </c>
      <c r="B24" s="8" t="s">
        <v>198</v>
      </c>
      <c r="C24" s="8" t="s">
        <v>168</v>
      </c>
      <c r="D24" s="8" t="s">
        <v>169</v>
      </c>
      <c r="E24" s="8" t="s">
        <v>41</v>
      </c>
      <c r="F24" s="8" t="s">
        <v>28</v>
      </c>
      <c r="G24" s="8" t="s">
        <v>20</v>
      </c>
      <c r="H24" s="152" t="s">
        <v>20</v>
      </c>
      <c r="I24" s="152" t="s">
        <v>3</v>
      </c>
      <c r="J24" s="152" t="s">
        <v>148</v>
      </c>
      <c r="K24" s="152" t="s">
        <v>125</v>
      </c>
      <c r="L24" s="153" t="s">
        <v>111</v>
      </c>
      <c r="M24" s="153" t="s">
        <v>161</v>
      </c>
      <c r="N24" s="32"/>
      <c r="O24" s="32"/>
      <c r="P24" s="8" t="s">
        <v>25</v>
      </c>
      <c r="Q24" s="8" t="s">
        <v>18</v>
      </c>
      <c r="R24" s="8" t="s">
        <v>2</v>
      </c>
      <c r="S24" s="33" t="s">
        <v>126</v>
      </c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39">
        <f t="shared" si="3"/>
        <v>0</v>
      </c>
      <c r="AG24" s="39">
        <f t="shared" si="1"/>
        <v>0</v>
      </c>
    </row>
    <row r="25" spans="1:33" s="10" customFormat="1" ht="16.5" customHeight="1" x14ac:dyDescent="0.25">
      <c r="A25" s="9">
        <v>17</v>
      </c>
      <c r="B25" s="8" t="s">
        <v>124</v>
      </c>
      <c r="C25" s="8" t="s">
        <v>95</v>
      </c>
      <c r="D25" s="8" t="s">
        <v>187</v>
      </c>
      <c r="E25" s="8" t="s">
        <v>41</v>
      </c>
      <c r="F25" s="8" t="s">
        <v>187</v>
      </c>
      <c r="G25" s="8" t="s">
        <v>10</v>
      </c>
      <c r="H25" s="152" t="s">
        <v>101</v>
      </c>
      <c r="I25" s="152" t="s">
        <v>15</v>
      </c>
      <c r="J25" s="152" t="s">
        <v>146</v>
      </c>
      <c r="K25" s="152"/>
      <c r="L25" s="153" t="s">
        <v>109</v>
      </c>
      <c r="M25" s="153" t="s">
        <v>162</v>
      </c>
      <c r="N25" s="32"/>
      <c r="O25" s="32"/>
      <c r="P25" s="8"/>
      <c r="Q25" s="8" t="s">
        <v>103</v>
      </c>
      <c r="R25" s="8" t="s">
        <v>1</v>
      </c>
      <c r="S25" s="33"/>
      <c r="T25" s="71"/>
      <c r="U25" s="71"/>
      <c r="V25" s="71"/>
      <c r="W25" s="71">
        <v>3000</v>
      </c>
      <c r="X25" s="71">
        <v>3000</v>
      </c>
      <c r="Y25" s="71">
        <v>3000</v>
      </c>
      <c r="Z25" s="71"/>
      <c r="AA25" s="71"/>
      <c r="AB25" s="71"/>
      <c r="AC25" s="71"/>
      <c r="AD25" s="71"/>
      <c r="AE25" s="71"/>
      <c r="AF25" s="39">
        <f t="shared" si="3"/>
        <v>9000</v>
      </c>
      <c r="AG25" s="39">
        <f t="shared" si="1"/>
        <v>9000</v>
      </c>
    </row>
    <row r="26" spans="1:33" ht="15.75" x14ac:dyDescent="0.25">
      <c r="A26" s="9">
        <v>26</v>
      </c>
      <c r="B26" s="8" t="s">
        <v>123</v>
      </c>
      <c r="C26" s="8" t="s">
        <v>164</v>
      </c>
      <c r="D26" s="8" t="s">
        <v>188</v>
      </c>
      <c r="E26" s="8" t="s">
        <v>41</v>
      </c>
      <c r="F26" s="8" t="s">
        <v>28</v>
      </c>
      <c r="G26" s="8" t="s">
        <v>17</v>
      </c>
      <c r="H26" s="152" t="s">
        <v>3</v>
      </c>
      <c r="I26" s="152" t="s">
        <v>3</v>
      </c>
      <c r="J26" s="152" t="s">
        <v>151</v>
      </c>
      <c r="K26" s="152"/>
      <c r="L26" s="153" t="s">
        <v>110</v>
      </c>
      <c r="M26" s="153" t="s">
        <v>163</v>
      </c>
      <c r="N26" s="32"/>
      <c r="O26" s="32"/>
      <c r="P26" s="31"/>
      <c r="Q26" s="8" t="s">
        <v>293</v>
      </c>
      <c r="R26" s="8" t="s">
        <v>1</v>
      </c>
      <c r="S26" s="31"/>
      <c r="T26" s="69"/>
      <c r="U26" s="69"/>
      <c r="V26" s="69"/>
      <c r="W26" s="71"/>
      <c r="X26" s="71"/>
      <c r="Y26" s="71"/>
      <c r="Z26" s="71">
        <v>5000</v>
      </c>
      <c r="AA26" s="71">
        <v>5000</v>
      </c>
      <c r="AB26" s="71">
        <v>5000</v>
      </c>
      <c r="AC26" s="71"/>
      <c r="AD26" s="71"/>
      <c r="AE26" s="71"/>
      <c r="AF26" s="39">
        <f t="shared" ref="AF26" si="4">SUBTOTAL(9,T26:AE26)</f>
        <v>15000</v>
      </c>
      <c r="AG26" s="39">
        <f t="shared" si="1"/>
        <v>15000</v>
      </c>
    </row>
    <row r="27" spans="1:33" ht="33" customHeight="1" x14ac:dyDescent="0.25">
      <c r="A27" s="9">
        <v>33</v>
      </c>
      <c r="B27" s="8" t="s">
        <v>141</v>
      </c>
      <c r="C27" s="8" t="s">
        <v>45</v>
      </c>
      <c r="D27" s="8" t="s">
        <v>56</v>
      </c>
      <c r="E27" s="8" t="s">
        <v>41</v>
      </c>
      <c r="F27" s="8" t="s">
        <v>28</v>
      </c>
      <c r="G27" s="8" t="s">
        <v>17</v>
      </c>
      <c r="H27" s="152"/>
      <c r="I27" s="152" t="s">
        <v>3</v>
      </c>
      <c r="J27" s="152" t="s">
        <v>5</v>
      </c>
      <c r="K27" s="152"/>
      <c r="L27" s="153" t="s">
        <v>111</v>
      </c>
      <c r="M27" s="153" t="s">
        <v>162</v>
      </c>
      <c r="N27" s="32"/>
      <c r="O27" s="32"/>
      <c r="P27" s="31"/>
      <c r="Q27" s="8" t="s">
        <v>103</v>
      </c>
      <c r="R27" s="8" t="s">
        <v>1</v>
      </c>
      <c r="S27" s="8" t="s">
        <v>291</v>
      </c>
      <c r="T27" s="69"/>
      <c r="U27" s="69"/>
      <c r="V27" s="69"/>
      <c r="W27" s="71"/>
      <c r="X27" s="71"/>
      <c r="Y27" s="71"/>
      <c r="Z27" s="71"/>
      <c r="AA27" s="71"/>
      <c r="AB27" s="71"/>
      <c r="AC27" s="71"/>
      <c r="AD27" s="71"/>
      <c r="AE27" s="71"/>
      <c r="AF27" s="39">
        <f t="shared" ref="AF27:AF28" si="5">SUBTOTAL(9,T27:AE27)</f>
        <v>0</v>
      </c>
      <c r="AG27" s="39">
        <f t="shared" ref="AG27:AG28" si="6">IF(R27="Dólar",AF27*$AH$1,AF27)</f>
        <v>0</v>
      </c>
    </row>
    <row r="28" spans="1:33" ht="28.5" x14ac:dyDescent="0.25">
      <c r="A28" s="9">
        <v>4</v>
      </c>
      <c r="B28" s="8" t="s">
        <v>155</v>
      </c>
      <c r="C28" s="8" t="s">
        <v>44</v>
      </c>
      <c r="D28" s="8" t="s">
        <v>28</v>
      </c>
      <c r="E28" s="8" t="s">
        <v>41</v>
      </c>
      <c r="F28" s="8" t="s">
        <v>28</v>
      </c>
      <c r="G28" s="8" t="s">
        <v>17</v>
      </c>
      <c r="H28" s="152" t="s">
        <v>3</v>
      </c>
      <c r="I28" s="152" t="s">
        <v>3</v>
      </c>
      <c r="J28" s="152" t="s">
        <v>150</v>
      </c>
      <c r="K28" s="152"/>
      <c r="L28" s="153" t="s">
        <v>108</v>
      </c>
      <c r="M28" s="153" t="s">
        <v>162</v>
      </c>
      <c r="N28" s="32"/>
      <c r="O28" s="32"/>
      <c r="P28" s="31"/>
      <c r="Q28" s="8" t="s">
        <v>103</v>
      </c>
      <c r="R28" s="8" t="s">
        <v>1</v>
      </c>
      <c r="S28" s="31"/>
      <c r="T28" s="71">
        <v>2500</v>
      </c>
      <c r="U28" s="71">
        <v>2500</v>
      </c>
      <c r="V28" s="71">
        <v>2500</v>
      </c>
      <c r="W28" s="71">
        <v>1500</v>
      </c>
      <c r="X28" s="71"/>
      <c r="Y28" s="71"/>
      <c r="Z28" s="71"/>
      <c r="AA28" s="69"/>
      <c r="AB28" s="69"/>
      <c r="AC28" s="69"/>
      <c r="AD28" s="69"/>
      <c r="AE28" s="69"/>
      <c r="AF28" s="39">
        <f t="shared" si="5"/>
        <v>9000</v>
      </c>
      <c r="AG28" s="39">
        <f t="shared" si="6"/>
        <v>9000</v>
      </c>
    </row>
    <row r="29" spans="1:33" ht="42.75" x14ac:dyDescent="0.25">
      <c r="A29" s="9">
        <v>5</v>
      </c>
      <c r="B29" s="8" t="s">
        <v>328</v>
      </c>
      <c r="C29" s="8" t="s">
        <v>164</v>
      </c>
      <c r="D29" s="8" t="s">
        <v>28</v>
      </c>
      <c r="E29" s="8" t="s">
        <v>41</v>
      </c>
      <c r="F29" s="8" t="s">
        <v>28</v>
      </c>
      <c r="G29" s="8"/>
      <c r="H29" s="152"/>
      <c r="I29" s="152"/>
      <c r="J29" s="152" t="s">
        <v>190</v>
      </c>
      <c r="K29" s="152" t="s">
        <v>298</v>
      </c>
      <c r="L29" s="153" t="s">
        <v>108</v>
      </c>
      <c r="M29" s="153" t="s">
        <v>162</v>
      </c>
      <c r="N29" s="32"/>
      <c r="O29" s="32"/>
      <c r="P29" s="31"/>
      <c r="Q29" s="8" t="s">
        <v>118</v>
      </c>
      <c r="R29" s="8" t="s">
        <v>1</v>
      </c>
      <c r="S29" s="31"/>
      <c r="T29" s="71"/>
      <c r="U29" s="71">
        <v>2500</v>
      </c>
      <c r="V29" s="71">
        <v>2500</v>
      </c>
      <c r="W29" s="71">
        <v>2500</v>
      </c>
      <c r="X29" s="71">
        <v>2500</v>
      </c>
      <c r="Y29" s="71"/>
      <c r="Z29" s="71"/>
      <c r="AA29" s="69"/>
      <c r="AB29" s="69"/>
      <c r="AC29" s="69"/>
      <c r="AD29" s="69"/>
      <c r="AE29" s="69"/>
      <c r="AF29" s="39">
        <f>SUBTOTAL(9,T29:AE29)</f>
        <v>10000</v>
      </c>
      <c r="AG29" s="39">
        <f>IF(R29="Dólar",AF29*$AH$1,AF29)</f>
        <v>10000</v>
      </c>
    </row>
    <row r="30" spans="1:33" ht="28.5" x14ac:dyDescent="0.25">
      <c r="A30" s="9">
        <v>13</v>
      </c>
      <c r="B30" s="8" t="s">
        <v>184</v>
      </c>
      <c r="C30" s="8" t="s">
        <v>170</v>
      </c>
      <c r="D30" s="8" t="s">
        <v>171</v>
      </c>
      <c r="E30" s="8" t="s">
        <v>41</v>
      </c>
      <c r="F30" s="8" t="s">
        <v>28</v>
      </c>
      <c r="G30" s="8"/>
      <c r="H30" s="152"/>
      <c r="I30" s="152"/>
      <c r="J30" s="152" t="s">
        <v>149</v>
      </c>
      <c r="K30" s="152"/>
      <c r="L30" s="153" t="s">
        <v>109</v>
      </c>
      <c r="M30" s="153" t="s">
        <v>162</v>
      </c>
      <c r="N30" s="32"/>
      <c r="O30" s="32"/>
      <c r="P30" s="31"/>
      <c r="Q30" s="8" t="s">
        <v>103</v>
      </c>
      <c r="R30" s="8" t="s">
        <v>1</v>
      </c>
      <c r="S30" s="31"/>
      <c r="T30" s="71"/>
      <c r="U30" s="71"/>
      <c r="V30" s="71"/>
      <c r="W30" s="71">
        <v>2500</v>
      </c>
      <c r="X30" s="71">
        <v>2500</v>
      </c>
      <c r="Y30" s="71">
        <v>2500</v>
      </c>
      <c r="Z30" s="71"/>
      <c r="AA30" s="69"/>
      <c r="AB30" s="69"/>
      <c r="AC30" s="69"/>
      <c r="AD30" s="69"/>
      <c r="AE30" s="69"/>
      <c r="AF30" s="39">
        <f t="shared" ref="AF30:AF40" si="7">SUBTOTAL(9,T30:AE30)</f>
        <v>7500</v>
      </c>
      <c r="AG30" s="39">
        <f t="shared" ref="AG30:AG40" si="8">IF(R30="Dólar",AF30*$AH$1,AF30)</f>
        <v>7500</v>
      </c>
    </row>
    <row r="31" spans="1:33" ht="28.5" x14ac:dyDescent="0.25">
      <c r="A31" s="9">
        <v>15</v>
      </c>
      <c r="B31" s="8" t="s">
        <v>178</v>
      </c>
      <c r="C31" s="8" t="s">
        <v>170</v>
      </c>
      <c r="D31" s="8" t="s">
        <v>171</v>
      </c>
      <c r="E31" s="8" t="s">
        <v>41</v>
      </c>
      <c r="F31" s="8" t="s">
        <v>28</v>
      </c>
      <c r="G31" s="8"/>
      <c r="H31" s="152"/>
      <c r="I31" s="152"/>
      <c r="J31" s="152" t="s">
        <v>149</v>
      </c>
      <c r="K31" s="152"/>
      <c r="L31" s="153" t="s">
        <v>109</v>
      </c>
      <c r="M31" s="153" t="s">
        <v>161</v>
      </c>
      <c r="N31" s="32"/>
      <c r="O31" s="32"/>
      <c r="P31" s="31"/>
      <c r="Q31" s="8" t="s">
        <v>103</v>
      </c>
      <c r="R31" s="8" t="s">
        <v>1</v>
      </c>
      <c r="S31" s="33" t="s">
        <v>327</v>
      </c>
      <c r="T31" s="71"/>
      <c r="U31" s="71"/>
      <c r="V31" s="71"/>
      <c r="W31" s="71">
        <f>1000*4.1</f>
        <v>4100</v>
      </c>
      <c r="X31" s="71">
        <v>4000</v>
      </c>
      <c r="Y31" s="71"/>
      <c r="Z31" s="71"/>
      <c r="AA31" s="69"/>
      <c r="AB31" s="69"/>
      <c r="AC31" s="69"/>
      <c r="AD31" s="69"/>
      <c r="AE31" s="69"/>
      <c r="AF31" s="39">
        <f t="shared" si="7"/>
        <v>8100</v>
      </c>
      <c r="AG31" s="39">
        <f t="shared" si="8"/>
        <v>8100</v>
      </c>
    </row>
    <row r="32" spans="1:33" ht="15.75" x14ac:dyDescent="0.25">
      <c r="A32" s="9">
        <v>34</v>
      </c>
      <c r="B32" s="8" t="s">
        <v>183</v>
      </c>
      <c r="C32" s="8" t="s">
        <v>168</v>
      </c>
      <c r="D32" s="8" t="s">
        <v>169</v>
      </c>
      <c r="E32" s="8" t="s">
        <v>41</v>
      </c>
      <c r="F32" s="8" t="s">
        <v>28</v>
      </c>
      <c r="G32" s="8"/>
      <c r="H32" s="152"/>
      <c r="I32" s="152"/>
      <c r="J32" s="152" t="s">
        <v>148</v>
      </c>
      <c r="K32" s="152" t="s">
        <v>125</v>
      </c>
      <c r="L32" s="153" t="s">
        <v>111</v>
      </c>
      <c r="M32" s="153" t="s">
        <v>162</v>
      </c>
      <c r="N32" s="32"/>
      <c r="O32" s="32"/>
      <c r="P32" s="31"/>
      <c r="Q32" s="8" t="s">
        <v>295</v>
      </c>
      <c r="R32" s="8" t="s">
        <v>1</v>
      </c>
      <c r="S32" s="33" t="s">
        <v>126</v>
      </c>
      <c r="T32" s="71"/>
      <c r="U32" s="71"/>
      <c r="V32" s="71"/>
      <c r="W32" s="71"/>
      <c r="X32" s="71"/>
      <c r="Y32" s="71"/>
      <c r="Z32" s="71"/>
      <c r="AA32" s="69"/>
      <c r="AB32" s="69"/>
      <c r="AC32" s="69"/>
      <c r="AD32" s="69"/>
      <c r="AE32" s="69"/>
      <c r="AF32" s="39">
        <f t="shared" si="7"/>
        <v>0</v>
      </c>
      <c r="AG32" s="39">
        <f t="shared" si="8"/>
        <v>0</v>
      </c>
    </row>
    <row r="33" spans="1:33" ht="24" x14ac:dyDescent="0.25">
      <c r="A33" s="9">
        <v>8</v>
      </c>
      <c r="B33" s="8" t="s">
        <v>347</v>
      </c>
      <c r="C33" s="8" t="s">
        <v>45</v>
      </c>
      <c r="D33" s="8" t="s">
        <v>56</v>
      </c>
      <c r="E33" s="8" t="s">
        <v>41</v>
      </c>
      <c r="F33" s="8" t="s">
        <v>56</v>
      </c>
      <c r="G33" s="8"/>
      <c r="H33" s="152" t="s">
        <v>348</v>
      </c>
      <c r="I33" s="152"/>
      <c r="J33" s="152" t="s">
        <v>5</v>
      </c>
      <c r="K33" s="156" t="s">
        <v>256</v>
      </c>
      <c r="L33" s="153" t="s">
        <v>111</v>
      </c>
      <c r="M33" s="153" t="s">
        <v>161</v>
      </c>
      <c r="N33" s="32"/>
      <c r="O33" s="32"/>
      <c r="P33" s="31"/>
      <c r="Q33" s="8" t="s">
        <v>199</v>
      </c>
      <c r="R33" s="8" t="s">
        <v>2</v>
      </c>
      <c r="S33" s="33"/>
      <c r="T33" s="71"/>
      <c r="U33" s="71"/>
      <c r="V33" s="71"/>
      <c r="W33" s="71"/>
      <c r="X33" s="71"/>
      <c r="Y33" s="71"/>
      <c r="Z33" s="71"/>
      <c r="AA33" s="69"/>
      <c r="AB33" s="71">
        <f>1100*2</f>
        <v>2200</v>
      </c>
      <c r="AC33" s="71">
        <v>1100</v>
      </c>
      <c r="AD33" s="69"/>
      <c r="AE33" s="69"/>
      <c r="AF33" s="39">
        <f t="shared" ref="AF33" si="9">SUBTOTAL(9,T33:AE33)</f>
        <v>3300</v>
      </c>
      <c r="AG33" s="39">
        <f t="shared" ref="AG33" si="10">IF(R33="Dólar",AF33*$AH$1,AF33)</f>
        <v>13529.999999999998</v>
      </c>
    </row>
    <row r="34" spans="1:33" ht="48" x14ac:dyDescent="0.25">
      <c r="A34" s="9">
        <v>8</v>
      </c>
      <c r="B34" s="8" t="s">
        <v>347</v>
      </c>
      <c r="C34" s="8" t="s">
        <v>45</v>
      </c>
      <c r="D34" s="8" t="s">
        <v>56</v>
      </c>
      <c r="E34" s="8" t="s">
        <v>41</v>
      </c>
      <c r="F34" s="8" t="s">
        <v>56</v>
      </c>
      <c r="G34" s="8"/>
      <c r="H34" s="152" t="s">
        <v>348</v>
      </c>
      <c r="I34" s="152"/>
      <c r="J34" s="152" t="s">
        <v>5</v>
      </c>
      <c r="K34" s="156" t="s">
        <v>257</v>
      </c>
      <c r="L34" s="153" t="s">
        <v>109</v>
      </c>
      <c r="M34" s="153" t="s">
        <v>161</v>
      </c>
      <c r="N34" s="32"/>
      <c r="O34" s="32"/>
      <c r="P34" s="31"/>
      <c r="Q34" s="8" t="s">
        <v>199</v>
      </c>
      <c r="R34" s="8" t="s">
        <v>2</v>
      </c>
      <c r="S34" s="33"/>
      <c r="T34" s="71"/>
      <c r="U34" s="71"/>
      <c r="V34" s="71"/>
      <c r="W34" s="71">
        <f>1100*6</f>
        <v>6600</v>
      </c>
      <c r="X34" s="71"/>
      <c r="Y34" s="71"/>
      <c r="Z34" s="71">
        <f>1100*3</f>
        <v>3300</v>
      </c>
      <c r="AA34" s="69"/>
      <c r="AB34" s="71"/>
      <c r="AC34" s="71">
        <f>1100*3</f>
        <v>3300</v>
      </c>
      <c r="AD34" s="69"/>
      <c r="AE34" s="69"/>
      <c r="AF34" s="39">
        <f t="shared" ref="AF34" si="11">SUBTOTAL(9,T34:AE34)</f>
        <v>13200</v>
      </c>
      <c r="AG34" s="39">
        <f t="shared" ref="AG34" si="12">IF(R34="Dólar",AF34*$AH$1,AF34)</f>
        <v>54119.999999999993</v>
      </c>
    </row>
    <row r="35" spans="1:33" ht="15.75" x14ac:dyDescent="0.25">
      <c r="A35" s="9">
        <v>8</v>
      </c>
      <c r="B35" s="8" t="s">
        <v>347</v>
      </c>
      <c r="C35" s="8" t="s">
        <v>45</v>
      </c>
      <c r="D35" s="8" t="s">
        <v>56</v>
      </c>
      <c r="E35" s="8" t="s">
        <v>41</v>
      </c>
      <c r="F35" s="8" t="s">
        <v>56</v>
      </c>
      <c r="G35" s="8"/>
      <c r="H35" s="152" t="s">
        <v>348</v>
      </c>
      <c r="I35" s="152"/>
      <c r="J35" s="152" t="s">
        <v>5</v>
      </c>
      <c r="K35" s="156" t="s">
        <v>280</v>
      </c>
      <c r="L35" s="153" t="s">
        <v>108</v>
      </c>
      <c r="M35" s="153" t="s">
        <v>161</v>
      </c>
      <c r="N35" s="32"/>
      <c r="O35" s="32"/>
      <c r="P35" s="31"/>
      <c r="Q35" s="8" t="s">
        <v>199</v>
      </c>
      <c r="R35" s="8" t="s">
        <v>2</v>
      </c>
      <c r="S35" s="33"/>
      <c r="T35" s="71">
        <f>1100</f>
        <v>1100</v>
      </c>
      <c r="U35" s="71"/>
      <c r="V35" s="71"/>
      <c r="W35" s="71"/>
      <c r="X35" s="71"/>
      <c r="Y35" s="71"/>
      <c r="Z35" s="71"/>
      <c r="AA35" s="69"/>
      <c r="AB35" s="71"/>
      <c r="AC35" s="71"/>
      <c r="AD35" s="69"/>
      <c r="AE35" s="69"/>
      <c r="AF35" s="39">
        <f t="shared" ref="AF35" si="13">SUBTOTAL(9,T35:AE35)</f>
        <v>1100</v>
      </c>
      <c r="AG35" s="39">
        <f t="shared" ref="AG35" si="14">IF(R35="Dólar",AF35*$AH$1,AF35)</f>
        <v>4510</v>
      </c>
    </row>
    <row r="36" spans="1:33" ht="15.75" x14ac:dyDescent="0.25">
      <c r="A36" s="9">
        <v>8</v>
      </c>
      <c r="B36" s="8" t="s">
        <v>347</v>
      </c>
      <c r="C36" s="8" t="s">
        <v>45</v>
      </c>
      <c r="D36" s="8" t="s">
        <v>56</v>
      </c>
      <c r="E36" s="8" t="s">
        <v>41</v>
      </c>
      <c r="F36" s="8" t="s">
        <v>56</v>
      </c>
      <c r="G36" s="8"/>
      <c r="H36" s="152" t="s">
        <v>348</v>
      </c>
      <c r="I36" s="152"/>
      <c r="J36" s="152" t="s">
        <v>5</v>
      </c>
      <c r="K36" s="156" t="s">
        <v>351</v>
      </c>
      <c r="L36" s="153" t="s">
        <v>109</v>
      </c>
      <c r="M36" s="153" t="s">
        <v>161</v>
      </c>
      <c r="N36" s="32"/>
      <c r="O36" s="32"/>
      <c r="P36" s="31"/>
      <c r="Q36" s="8" t="s">
        <v>199</v>
      </c>
      <c r="R36" s="8" t="s">
        <v>2</v>
      </c>
      <c r="S36" s="33"/>
      <c r="T36" s="71"/>
      <c r="U36" s="71"/>
      <c r="V36" s="71">
        <v>1100</v>
      </c>
      <c r="W36" s="71">
        <v>1100</v>
      </c>
      <c r="X36" s="71">
        <v>1100</v>
      </c>
      <c r="Y36" s="71"/>
      <c r="Z36" s="71"/>
      <c r="AA36" s="69"/>
      <c r="AB36" s="71"/>
      <c r="AC36" s="71"/>
      <c r="AD36" s="69"/>
      <c r="AE36" s="69"/>
      <c r="AF36" s="39">
        <f t="shared" ref="AF36" si="15">SUBTOTAL(9,T36:AE36)</f>
        <v>3300</v>
      </c>
      <c r="AG36" s="39">
        <f t="shared" ref="AG36" si="16">IF(R36="Dólar",AF36*$AH$1,AF36)</f>
        <v>13529.999999999998</v>
      </c>
    </row>
    <row r="37" spans="1:33" ht="88.5" customHeight="1" x14ac:dyDescent="0.25">
      <c r="A37" s="9">
        <v>9</v>
      </c>
      <c r="B37" s="8" t="s">
        <v>349</v>
      </c>
      <c r="C37" s="8" t="s">
        <v>45</v>
      </c>
      <c r="D37" s="8" t="s">
        <v>56</v>
      </c>
      <c r="E37" s="8" t="s">
        <v>41</v>
      </c>
      <c r="F37" s="8" t="s">
        <v>56</v>
      </c>
      <c r="G37" s="8"/>
      <c r="H37" s="152" t="s">
        <v>348</v>
      </c>
      <c r="I37" s="152"/>
      <c r="J37" s="152" t="s">
        <v>5</v>
      </c>
      <c r="K37" s="157" t="s">
        <v>354</v>
      </c>
      <c r="L37" s="153" t="s">
        <v>108</v>
      </c>
      <c r="M37" s="153" t="s">
        <v>161</v>
      </c>
      <c r="N37" s="32"/>
      <c r="O37" s="32"/>
      <c r="P37" s="31"/>
      <c r="Q37" s="8" t="s">
        <v>199</v>
      </c>
      <c r="R37" s="8" t="s">
        <v>2</v>
      </c>
      <c r="S37" s="33"/>
      <c r="T37" s="71">
        <f>190*2</f>
        <v>380</v>
      </c>
      <c r="U37" s="71"/>
      <c r="V37" s="71">
        <f>190</f>
        <v>190</v>
      </c>
      <c r="W37" s="71">
        <f>190*23</f>
        <v>4370</v>
      </c>
      <c r="X37" s="71">
        <v>190</v>
      </c>
      <c r="Y37" s="71"/>
      <c r="Z37" s="71">
        <f>190*11</f>
        <v>2090</v>
      </c>
      <c r="AA37" s="69"/>
      <c r="AB37" s="69"/>
      <c r="AC37" s="71">
        <f>190*11</f>
        <v>2090</v>
      </c>
      <c r="AD37" s="69"/>
      <c r="AE37" s="69"/>
      <c r="AF37" s="39">
        <f t="shared" ref="AF37" si="17">SUBTOTAL(9,T37:AE37)</f>
        <v>9310</v>
      </c>
      <c r="AG37" s="39">
        <f t="shared" ref="AG37" si="18">IF(R37="Dólar",AF37*$AH$1,AF37)</f>
        <v>38171</v>
      </c>
    </row>
    <row r="38" spans="1:33" ht="51.6" customHeight="1" x14ac:dyDescent="0.25">
      <c r="A38" s="9">
        <v>24</v>
      </c>
      <c r="B38" s="8" t="s">
        <v>350</v>
      </c>
      <c r="C38" s="8" t="s">
        <v>45</v>
      </c>
      <c r="D38" s="8" t="s">
        <v>56</v>
      </c>
      <c r="E38" s="8" t="s">
        <v>41</v>
      </c>
      <c r="F38" s="8" t="s">
        <v>56</v>
      </c>
      <c r="G38" s="8"/>
      <c r="H38" s="152" t="s">
        <v>348</v>
      </c>
      <c r="I38" s="152"/>
      <c r="J38" s="152" t="s">
        <v>5</v>
      </c>
      <c r="K38" s="156" t="s">
        <v>352</v>
      </c>
      <c r="L38" s="153" t="s">
        <v>109</v>
      </c>
      <c r="M38" s="153" t="s">
        <v>161</v>
      </c>
      <c r="N38" s="32"/>
      <c r="O38" s="32"/>
      <c r="P38" s="31"/>
      <c r="Q38" s="8" t="s">
        <v>199</v>
      </c>
      <c r="R38" s="8" t="s">
        <v>2</v>
      </c>
      <c r="S38" s="33"/>
      <c r="T38" s="71">
        <v>200</v>
      </c>
      <c r="U38" s="71">
        <v>200</v>
      </c>
      <c r="V38" s="71">
        <v>200</v>
      </c>
      <c r="W38" s="71"/>
      <c r="X38" s="71"/>
      <c r="Y38" s="71"/>
      <c r="Z38" s="71"/>
      <c r="AA38" s="69"/>
      <c r="AB38" s="69"/>
      <c r="AC38" s="71"/>
      <c r="AD38" s="69"/>
      <c r="AE38" s="69"/>
      <c r="AF38" s="39">
        <f t="shared" ref="AF38" si="19">SUBTOTAL(9,T38:AE38)</f>
        <v>600</v>
      </c>
      <c r="AG38" s="39">
        <f t="shared" ref="AG38" si="20">IF(R38="Dólar",AF38*$AH$1,AF38)</f>
        <v>2460</v>
      </c>
    </row>
    <row r="39" spans="1:33" ht="51.6" customHeight="1" x14ac:dyDescent="0.25">
      <c r="A39" s="9">
        <v>25</v>
      </c>
      <c r="B39" s="8" t="s">
        <v>353</v>
      </c>
      <c r="C39" s="8" t="s">
        <v>45</v>
      </c>
      <c r="D39" s="8" t="s">
        <v>56</v>
      </c>
      <c r="E39" s="8" t="s">
        <v>41</v>
      </c>
      <c r="F39" s="8" t="s">
        <v>56</v>
      </c>
      <c r="G39" s="8"/>
      <c r="H39" s="152" t="s">
        <v>348</v>
      </c>
      <c r="I39" s="152"/>
      <c r="J39" s="152" t="s">
        <v>5</v>
      </c>
      <c r="K39" s="156" t="s">
        <v>297</v>
      </c>
      <c r="L39" s="153" t="s">
        <v>109</v>
      </c>
      <c r="M39" s="153" t="s">
        <v>161</v>
      </c>
      <c r="N39" s="32"/>
      <c r="O39" s="32"/>
      <c r="P39" s="31"/>
      <c r="Q39" s="8" t="s">
        <v>199</v>
      </c>
      <c r="R39" s="8" t="s">
        <v>2</v>
      </c>
      <c r="S39" s="33"/>
      <c r="T39" s="71">
        <v>450</v>
      </c>
      <c r="U39" s="71">
        <v>500</v>
      </c>
      <c r="V39" s="71"/>
      <c r="W39" s="71">
        <v>550</v>
      </c>
      <c r="X39" s="71">
        <v>1000</v>
      </c>
      <c r="Y39" s="71"/>
      <c r="Z39" s="71"/>
      <c r="AA39" s="69"/>
      <c r="AB39" s="69"/>
      <c r="AC39" s="71"/>
      <c r="AD39" s="69"/>
      <c r="AE39" s="69"/>
      <c r="AF39" s="39">
        <f t="shared" ref="AF39" si="21">SUBTOTAL(9,T39:AE39)</f>
        <v>2500</v>
      </c>
      <c r="AG39" s="39">
        <f t="shared" ref="AG39" si="22">IF(R39="Dólar",AF39*$AH$1,AF39)</f>
        <v>10250</v>
      </c>
    </row>
    <row r="40" spans="1:33" ht="28.5" x14ac:dyDescent="0.25">
      <c r="A40" s="9">
        <v>29</v>
      </c>
      <c r="B40" s="8" t="s">
        <v>189</v>
      </c>
      <c r="C40" s="8" t="s">
        <v>168</v>
      </c>
      <c r="D40" s="8" t="s">
        <v>169</v>
      </c>
      <c r="E40" s="8" t="s">
        <v>41</v>
      </c>
      <c r="F40" s="8" t="s">
        <v>28</v>
      </c>
      <c r="G40" s="8"/>
      <c r="H40" s="152"/>
      <c r="I40" s="152"/>
      <c r="J40" s="152" t="s">
        <v>148</v>
      </c>
      <c r="K40" s="152"/>
      <c r="L40" s="153" t="s">
        <v>110</v>
      </c>
      <c r="M40" s="153" t="s">
        <v>162</v>
      </c>
      <c r="N40" s="32"/>
      <c r="O40" s="32"/>
      <c r="P40" s="31"/>
      <c r="Q40" s="8" t="s">
        <v>103</v>
      </c>
      <c r="R40" s="8" t="s">
        <v>1</v>
      </c>
      <c r="S40" s="31"/>
      <c r="T40" s="71"/>
      <c r="U40" s="71"/>
      <c r="V40" s="71"/>
      <c r="W40" s="71"/>
      <c r="X40" s="71"/>
      <c r="Y40" s="71"/>
      <c r="Z40" s="71">
        <v>2500</v>
      </c>
      <c r="AA40" s="71">
        <v>2500</v>
      </c>
      <c r="AB40" s="71">
        <v>2500</v>
      </c>
      <c r="AC40" s="71"/>
      <c r="AD40" s="69"/>
      <c r="AE40" s="69"/>
      <c r="AF40" s="39">
        <f t="shared" si="7"/>
        <v>7500</v>
      </c>
      <c r="AG40" s="39">
        <f t="shared" si="8"/>
        <v>7500</v>
      </c>
    </row>
    <row r="41" spans="1:33" ht="18.75" x14ac:dyDescent="0.25">
      <c r="AG41" s="125">
        <f>SUM(AG3:AG40)</f>
        <v>417331</v>
      </c>
    </row>
    <row r="42" spans="1:33" x14ac:dyDescent="0.25">
      <c r="C42" s="215" t="s">
        <v>191</v>
      </c>
      <c r="D42" s="215"/>
      <c r="E42" s="215"/>
      <c r="F42" s="215"/>
    </row>
    <row r="43" spans="1:33" x14ac:dyDescent="0.25">
      <c r="C43" s="74" t="s">
        <v>192</v>
      </c>
      <c r="D43" s="74" t="s">
        <v>161</v>
      </c>
      <c r="E43" s="74" t="s">
        <v>162</v>
      </c>
      <c r="F43" s="74" t="s">
        <v>163</v>
      </c>
      <c r="S43" s="148"/>
    </row>
    <row r="44" spans="1:33" x14ac:dyDescent="0.25">
      <c r="C44" s="74" t="s">
        <v>193</v>
      </c>
      <c r="D44" s="74" t="s">
        <v>194</v>
      </c>
      <c r="E44" s="74" t="s">
        <v>195</v>
      </c>
      <c r="F44" s="74" t="s">
        <v>196</v>
      </c>
      <c r="S44" s="148"/>
    </row>
    <row r="45" spans="1:33" x14ac:dyDescent="0.25">
      <c r="S45" s="73" t="s">
        <v>358</v>
      </c>
      <c r="T45" s="73">
        <v>44562</v>
      </c>
      <c r="U45" s="73">
        <v>44593</v>
      </c>
      <c r="V45" s="73">
        <v>44621</v>
      </c>
      <c r="W45" s="73">
        <v>44652</v>
      </c>
      <c r="X45" s="73">
        <v>44682</v>
      </c>
      <c r="Y45" s="73">
        <v>44713</v>
      </c>
      <c r="Z45" s="73">
        <v>44743</v>
      </c>
      <c r="AA45" s="73">
        <v>44774</v>
      </c>
      <c r="AB45" s="73">
        <v>44805</v>
      </c>
      <c r="AC45" s="73">
        <v>44835</v>
      </c>
      <c r="AD45" s="73">
        <v>44866</v>
      </c>
      <c r="AE45" s="73">
        <v>44896</v>
      </c>
      <c r="AF45" s="6" t="s">
        <v>32</v>
      </c>
      <c r="AG45" s="6" t="s">
        <v>140</v>
      </c>
    </row>
    <row r="46" spans="1:33" ht="18.75" x14ac:dyDescent="0.25">
      <c r="S46" s="151" t="s">
        <v>356</v>
      </c>
      <c r="T46" s="149">
        <f>T3+T4+T6+T7+T8+T11+T14+T15+T16+T17+T18+T19+T20+T21+T25+T26+T27+T28+T29+T30+T31+T32+T40</f>
        <v>2500</v>
      </c>
      <c r="U46" s="149">
        <f t="shared" ref="U46:AE46" si="23">U3+U4+U6+U7+U8+U11+U14+U15+U16+U17+U18+U19+U20+U21+U25+U26+U27+U28+U29+U30+U31+U32+U40</f>
        <v>10500</v>
      </c>
      <c r="V46" s="149">
        <f t="shared" si="23"/>
        <v>19500</v>
      </c>
      <c r="W46" s="149">
        <f t="shared" si="23"/>
        <v>37100</v>
      </c>
      <c r="X46" s="149">
        <f t="shared" si="23"/>
        <v>25500</v>
      </c>
      <c r="Y46" s="149">
        <f t="shared" si="23"/>
        <v>23500</v>
      </c>
      <c r="Z46" s="149">
        <f t="shared" si="23"/>
        <v>29500</v>
      </c>
      <c r="AA46" s="149">
        <f t="shared" si="23"/>
        <v>19500</v>
      </c>
      <c r="AB46" s="149">
        <f t="shared" si="23"/>
        <v>18500</v>
      </c>
      <c r="AC46" s="149">
        <f t="shared" si="23"/>
        <v>12000</v>
      </c>
      <c r="AD46" s="149">
        <f t="shared" si="23"/>
        <v>7500</v>
      </c>
      <c r="AE46" s="149">
        <f t="shared" si="23"/>
        <v>3000</v>
      </c>
      <c r="AF46" s="150">
        <f>SUM(T46:AE46)</f>
        <v>208600</v>
      </c>
      <c r="AG46" s="150">
        <f>AF46</f>
        <v>208600</v>
      </c>
    </row>
    <row r="47" spans="1:33" ht="21" x14ac:dyDescent="0.25">
      <c r="C47" s="124"/>
      <c r="S47" s="151" t="s">
        <v>357</v>
      </c>
      <c r="T47" s="149">
        <f>T5+T9+T10+T12+T13+T22+T23+T24+T33+T34+T35+T36+T37+T38+T39</f>
        <v>3930</v>
      </c>
      <c r="U47" s="149">
        <f t="shared" ref="U47:AE47" si="24">U5+U9+U10+U12+U13+U22+U23+U24+U33+U34+U35+U36+U37+U38+U39</f>
        <v>2500</v>
      </c>
      <c r="V47" s="149">
        <f t="shared" si="24"/>
        <v>2990</v>
      </c>
      <c r="W47" s="149">
        <f t="shared" si="24"/>
        <v>17620</v>
      </c>
      <c r="X47" s="149">
        <f t="shared" si="24"/>
        <v>4290</v>
      </c>
      <c r="Y47" s="149">
        <f t="shared" si="24"/>
        <v>2000</v>
      </c>
      <c r="Z47" s="149">
        <f t="shared" si="24"/>
        <v>8890</v>
      </c>
      <c r="AA47" s="149">
        <f t="shared" si="24"/>
        <v>0</v>
      </c>
      <c r="AB47" s="149">
        <f t="shared" si="24"/>
        <v>2200</v>
      </c>
      <c r="AC47" s="149">
        <f t="shared" si="24"/>
        <v>6490</v>
      </c>
      <c r="AD47" s="149">
        <f t="shared" si="24"/>
        <v>0</v>
      </c>
      <c r="AE47" s="149">
        <f t="shared" si="24"/>
        <v>0</v>
      </c>
      <c r="AF47" s="150">
        <f>SUM(T47:AE47)</f>
        <v>50910</v>
      </c>
      <c r="AG47" s="150">
        <f>AF47*AH1</f>
        <v>208730.99999999997</v>
      </c>
    </row>
    <row r="48" spans="1:33" ht="21" x14ac:dyDescent="0.25">
      <c r="C48" s="124"/>
      <c r="AG48" s="125">
        <f>SUM(AG46:AG47)</f>
        <v>417331</v>
      </c>
    </row>
    <row r="49" spans="3:3" ht="21" x14ac:dyDescent="0.25">
      <c r="C49" s="124"/>
    </row>
    <row r="50" spans="3:3" ht="21" x14ac:dyDescent="0.25">
      <c r="C50" s="124"/>
    </row>
    <row r="51" spans="3:3" ht="21" x14ac:dyDescent="0.25">
      <c r="C51" s="124"/>
    </row>
    <row r="52" spans="3:3" ht="21" x14ac:dyDescent="0.25">
      <c r="C52" s="124"/>
    </row>
    <row r="53" spans="3:3" ht="21" x14ac:dyDescent="0.25">
      <c r="C53" s="124"/>
    </row>
    <row r="54" spans="3:3" ht="21" x14ac:dyDescent="0.25">
      <c r="C54" s="124"/>
    </row>
    <row r="55" spans="3:3" ht="21" x14ac:dyDescent="0.25">
      <c r="C55" s="124"/>
    </row>
    <row r="56" spans="3:3" ht="21" x14ac:dyDescent="0.25">
      <c r="C56" s="124"/>
    </row>
    <row r="57" spans="3:3" ht="21" x14ac:dyDescent="0.25">
      <c r="C57" s="124"/>
    </row>
    <row r="58" spans="3:3" ht="21" x14ac:dyDescent="0.25">
      <c r="C58" s="124"/>
    </row>
    <row r="59" spans="3:3" ht="21" x14ac:dyDescent="0.25">
      <c r="C59" s="124"/>
    </row>
  </sheetData>
  <mergeCells count="1">
    <mergeCell ref="C42:F42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A2EA2-0045-48E2-AFB5-A91C0FCD8172}">
  <sheetPr>
    <tabColor rgb="FF00B050"/>
  </sheetPr>
  <dimension ref="A1:AC129"/>
  <sheetViews>
    <sheetView zoomScale="60" zoomScaleNormal="60" workbookViewId="0">
      <pane xSplit="9" ySplit="9" topLeftCell="J10" activePane="bottomRight" state="frozen"/>
      <selection pane="topRight" activeCell="J1" sqref="J1"/>
      <selection pane="bottomLeft" activeCell="A4" sqref="A4"/>
      <selection pane="bottomRight" activeCell="F18" sqref="F18"/>
    </sheetView>
  </sheetViews>
  <sheetFormatPr baseColWidth="10" defaultColWidth="11.42578125" defaultRowHeight="20.25" outlineLevelRow="1" outlineLevelCol="1" x14ac:dyDescent="0.25"/>
  <cols>
    <col min="1" max="1" width="30.42578125" style="19" customWidth="1"/>
    <col min="2" max="2" width="14.140625" style="19" customWidth="1"/>
    <col min="3" max="3" width="22.85546875" style="19" customWidth="1"/>
    <col min="4" max="4" width="27.28515625" style="19" customWidth="1"/>
    <col min="5" max="5" width="11.85546875" style="19" customWidth="1"/>
    <col min="6" max="6" width="8.140625" style="19" customWidth="1"/>
    <col min="7" max="7" width="12.42578125" style="19" customWidth="1"/>
    <col min="8" max="8" width="9.85546875" style="19" customWidth="1"/>
    <col min="9" max="9" width="34.85546875" style="19" customWidth="1"/>
    <col min="10" max="10" width="20.85546875" style="19" customWidth="1"/>
    <col min="11" max="13" width="11.42578125" style="24" customWidth="1" outlineLevel="1"/>
    <col min="14" max="14" width="12.28515625" style="24" customWidth="1" outlineLevel="1"/>
    <col min="15" max="21" width="11.42578125" style="24" customWidth="1" outlineLevel="1"/>
    <col min="22" max="22" width="11.42578125" style="23" customWidth="1" outlineLevel="1"/>
    <col min="23" max="23" width="20.28515625" style="23" customWidth="1"/>
    <col min="24" max="24" width="8.7109375" style="98" customWidth="1"/>
    <col min="25" max="25" width="15.5703125" style="98" customWidth="1"/>
    <col min="26" max="26" width="12.140625" style="109" customWidth="1"/>
    <col min="27" max="27" width="15.85546875" style="109" customWidth="1"/>
    <col min="28" max="28" width="42.42578125" style="20" customWidth="1"/>
    <col min="29" max="16384" width="11.42578125" style="19"/>
  </cols>
  <sheetData>
    <row r="1" spans="1:29" ht="21" thickBot="1" x14ac:dyDescent="0.3">
      <c r="A1" s="217" t="s">
        <v>324</v>
      </c>
      <c r="B1" s="217"/>
      <c r="C1" s="217"/>
      <c r="D1" s="217"/>
    </row>
    <row r="2" spans="1:29" ht="41.1" customHeight="1" thickTop="1" thickBot="1" x14ac:dyDescent="0.3">
      <c r="A2" s="133" t="s">
        <v>319</v>
      </c>
      <c r="B2" s="133"/>
      <c r="C2" s="134">
        <v>2021</v>
      </c>
      <c r="D2" s="134">
        <v>2022</v>
      </c>
      <c r="E2" s="134" t="s">
        <v>261</v>
      </c>
      <c r="F2" s="137"/>
      <c r="G2" s="221" t="s">
        <v>325</v>
      </c>
      <c r="H2" s="221"/>
      <c r="I2" s="221"/>
      <c r="X2" s="219" t="s">
        <v>310</v>
      </c>
      <c r="Y2" s="219"/>
    </row>
    <row r="3" spans="1:29" ht="38.450000000000003" hidden="1" customHeight="1" outlineLevel="1" thickTop="1" thickBot="1" x14ac:dyDescent="0.3">
      <c r="A3" s="135" t="s">
        <v>320</v>
      </c>
      <c r="B3" s="135"/>
      <c r="C3" s="136">
        <f>J53-J46</f>
        <v>409588.51299999992</v>
      </c>
      <c r="D3" s="136">
        <f>Y53</f>
        <v>410602.92099999997</v>
      </c>
      <c r="E3" s="144">
        <f>(D3-C3)/$C$6</f>
        <v>2.2110579738949441E-3</v>
      </c>
      <c r="F3" s="139"/>
      <c r="G3" s="216" t="s">
        <v>323</v>
      </c>
      <c r="H3" s="216"/>
      <c r="I3" s="216"/>
    </row>
    <row r="4" spans="1:29" ht="63.95" hidden="1" customHeight="1" outlineLevel="1" thickTop="1" thickBot="1" x14ac:dyDescent="0.3">
      <c r="A4" s="135" t="s">
        <v>321</v>
      </c>
      <c r="B4" s="135"/>
      <c r="C4" s="136">
        <f>J46</f>
        <v>49199.999999999993</v>
      </c>
      <c r="D4" s="136">
        <f>Z53</f>
        <v>104469.7</v>
      </c>
      <c r="E4" s="144">
        <f>(D4-C4)/$C$6</f>
        <v>0.12046879648008976</v>
      </c>
      <c r="F4" s="139"/>
      <c r="G4" s="220" t="s">
        <v>355</v>
      </c>
      <c r="H4" s="220"/>
      <c r="I4" s="220"/>
    </row>
    <row r="5" spans="1:29" ht="35.450000000000003" hidden="1" customHeight="1" outlineLevel="1" thickTop="1" thickBot="1" x14ac:dyDescent="0.3">
      <c r="A5" s="135" t="s">
        <v>322</v>
      </c>
      <c r="B5" s="135"/>
      <c r="C5" s="136">
        <v>0</v>
      </c>
      <c r="D5" s="136">
        <f>AA53</f>
        <v>6300</v>
      </c>
      <c r="E5" s="144">
        <f>(D5-C5)/$C$6</f>
        <v>1.3731817213130619E-2</v>
      </c>
      <c r="F5" s="139"/>
      <c r="G5" s="216" t="s">
        <v>360</v>
      </c>
      <c r="H5" s="216"/>
      <c r="I5" s="216"/>
    </row>
    <row r="6" spans="1:29" ht="28.5" customHeight="1" collapsed="1" thickTop="1" thickBot="1" x14ac:dyDescent="0.3">
      <c r="A6" s="138" t="s">
        <v>289</v>
      </c>
      <c r="B6" s="138"/>
      <c r="C6" s="143">
        <f>SUM(C3:C5)</f>
        <v>458788.51299999992</v>
      </c>
      <c r="D6" s="143">
        <f>SUM(D3:D5)</f>
        <v>521372.62099999998</v>
      </c>
      <c r="E6" s="139">
        <f>(D6-C6)/C6</f>
        <v>0.13641167166711535</v>
      </c>
      <c r="F6" s="140"/>
      <c r="G6" s="216"/>
      <c r="H6" s="216"/>
      <c r="I6" s="216"/>
    </row>
    <row r="7" spans="1:29" ht="21" thickTop="1" x14ac:dyDescent="0.25">
      <c r="V7" s="24"/>
      <c r="W7" s="24"/>
      <c r="X7" s="97"/>
      <c r="Y7" s="97"/>
      <c r="AB7" s="19"/>
    </row>
    <row r="8" spans="1:29" ht="24.6" customHeight="1" x14ac:dyDescent="0.25">
      <c r="D8" s="19" t="s">
        <v>333</v>
      </c>
      <c r="H8" s="159" t="s">
        <v>69</v>
      </c>
      <c r="I8" s="159">
        <v>4.0999999999999996</v>
      </c>
      <c r="J8" s="27"/>
      <c r="K8" s="218" t="s">
        <v>89</v>
      </c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97"/>
      <c r="Y8" s="97"/>
      <c r="AB8" s="19"/>
    </row>
    <row r="9" spans="1:29" s="14" customFormat="1" ht="26.45" customHeight="1" x14ac:dyDescent="0.25">
      <c r="A9" s="12" t="s">
        <v>57</v>
      </c>
      <c r="B9" s="12" t="s">
        <v>63</v>
      </c>
      <c r="C9" s="12" t="s">
        <v>58</v>
      </c>
      <c r="D9" s="12" t="s">
        <v>59</v>
      </c>
      <c r="E9" s="12" t="s">
        <v>65</v>
      </c>
      <c r="F9" s="12" t="s">
        <v>82</v>
      </c>
      <c r="G9" s="25" t="s">
        <v>67</v>
      </c>
      <c r="H9" s="25" t="s">
        <v>68</v>
      </c>
      <c r="I9" s="12" t="s">
        <v>70</v>
      </c>
      <c r="J9" s="25" t="s">
        <v>312</v>
      </c>
      <c r="K9" s="28">
        <v>44562</v>
      </c>
      <c r="L9" s="28">
        <v>44593</v>
      </c>
      <c r="M9" s="28">
        <v>44621</v>
      </c>
      <c r="N9" s="28">
        <v>44652</v>
      </c>
      <c r="O9" s="28">
        <v>44682</v>
      </c>
      <c r="P9" s="28">
        <v>44713</v>
      </c>
      <c r="Q9" s="28">
        <v>44743</v>
      </c>
      <c r="R9" s="28">
        <v>44774</v>
      </c>
      <c r="S9" s="28">
        <v>44805</v>
      </c>
      <c r="T9" s="28">
        <v>44835</v>
      </c>
      <c r="U9" s="28">
        <v>44866</v>
      </c>
      <c r="V9" s="28">
        <v>44896</v>
      </c>
      <c r="W9" s="107" t="s">
        <v>60</v>
      </c>
      <c r="X9" s="99" t="s">
        <v>261</v>
      </c>
      <c r="Y9" s="110" t="s">
        <v>284</v>
      </c>
      <c r="Z9" s="110" t="s">
        <v>282</v>
      </c>
      <c r="AA9" s="110" t="s">
        <v>283</v>
      </c>
      <c r="AB9" s="13" t="s">
        <v>61</v>
      </c>
    </row>
    <row r="10" spans="1:29" ht="53.1" customHeight="1" x14ac:dyDescent="0.25">
      <c r="A10" s="53" t="s">
        <v>62</v>
      </c>
      <c r="B10" s="54" t="s">
        <v>45</v>
      </c>
      <c r="C10" s="53" t="s">
        <v>33</v>
      </c>
      <c r="D10" s="53" t="s">
        <v>64</v>
      </c>
      <c r="E10" s="53" t="s">
        <v>66</v>
      </c>
      <c r="F10" s="53" t="s">
        <v>91</v>
      </c>
      <c r="G10" s="55">
        <v>117</v>
      </c>
      <c r="H10" s="53"/>
      <c r="I10" s="53" t="s">
        <v>266</v>
      </c>
      <c r="J10" s="129">
        <f>G10*3*I8</f>
        <v>1439.1</v>
      </c>
      <c r="K10" s="56">
        <v>0</v>
      </c>
      <c r="L10" s="56">
        <v>0</v>
      </c>
      <c r="M10" s="56">
        <v>0</v>
      </c>
      <c r="N10" s="56">
        <v>0</v>
      </c>
      <c r="O10" s="56">
        <f>G10*1*I8</f>
        <v>479.69999999999993</v>
      </c>
      <c r="P10" s="56">
        <v>0</v>
      </c>
      <c r="Q10" s="56">
        <v>0</v>
      </c>
      <c r="R10" s="56">
        <v>0</v>
      </c>
      <c r="S10" s="56">
        <v>0</v>
      </c>
      <c r="T10" s="56">
        <f>G10*3*I8</f>
        <v>1439.1</v>
      </c>
      <c r="U10" s="56">
        <v>0</v>
      </c>
      <c r="V10" s="56">
        <v>0</v>
      </c>
      <c r="W10" s="57">
        <f>SUM(K10:V10)</f>
        <v>1918.7999999999997</v>
      </c>
      <c r="X10" s="100">
        <f>W10/$W$53</f>
        <v>3.6802853136394362E-3</v>
      </c>
      <c r="Y10" s="111">
        <f>G10*3*I8</f>
        <v>1439.1</v>
      </c>
      <c r="Z10" s="111">
        <f>G10*I8</f>
        <v>479.69999999999993</v>
      </c>
      <c r="AA10" s="111">
        <v>0</v>
      </c>
      <c r="AB10" s="58" t="s">
        <v>267</v>
      </c>
      <c r="AC10" s="141">
        <f>J10-Y10</f>
        <v>0</v>
      </c>
    </row>
    <row r="11" spans="1:29" ht="49.5" customHeight="1" x14ac:dyDescent="0.25">
      <c r="A11" s="53" t="s">
        <v>62</v>
      </c>
      <c r="B11" s="54" t="s">
        <v>45</v>
      </c>
      <c r="C11" s="53" t="s">
        <v>33</v>
      </c>
      <c r="D11" s="53" t="s">
        <v>34</v>
      </c>
      <c r="E11" s="53" t="s">
        <v>66</v>
      </c>
      <c r="F11" s="53" t="s">
        <v>91</v>
      </c>
      <c r="G11" s="55"/>
      <c r="H11" s="55"/>
      <c r="I11" s="53" t="s">
        <v>258</v>
      </c>
      <c r="J11" s="129">
        <f t="shared" ref="J11:V11" si="0">SUM(J12:J19)</f>
        <v>19926</v>
      </c>
      <c r="K11" s="56">
        <f t="shared" si="0"/>
        <v>122.99999999999999</v>
      </c>
      <c r="L11" s="56">
        <f t="shared" si="0"/>
        <v>122.99999999999999</v>
      </c>
      <c r="M11" s="56">
        <f t="shared" si="0"/>
        <v>122.99999999999999</v>
      </c>
      <c r="N11" s="56">
        <f t="shared" si="0"/>
        <v>11193</v>
      </c>
      <c r="O11" s="56">
        <f t="shared" si="0"/>
        <v>122.99999999999999</v>
      </c>
      <c r="P11" s="56">
        <f t="shared" si="0"/>
        <v>122.99999999999999</v>
      </c>
      <c r="Q11" s="56">
        <f t="shared" si="0"/>
        <v>122.99999999999999</v>
      </c>
      <c r="R11" s="56">
        <f t="shared" si="0"/>
        <v>122.99999999999999</v>
      </c>
      <c r="S11" s="56">
        <f t="shared" si="0"/>
        <v>7503</v>
      </c>
      <c r="T11" s="56">
        <f t="shared" si="0"/>
        <v>122.99999999999999</v>
      </c>
      <c r="U11" s="56">
        <f t="shared" si="0"/>
        <v>122.99999999999999</v>
      </c>
      <c r="V11" s="56">
        <f t="shared" si="0"/>
        <v>122.99999999999999</v>
      </c>
      <c r="W11" s="57">
        <f t="shared" ref="W11" si="1">SUM(K11:V11)</f>
        <v>19926</v>
      </c>
      <c r="X11" s="100">
        <f>W11/$W$53</f>
        <v>3.8218347487794152E-2</v>
      </c>
      <c r="Y11" s="111">
        <f>W11</f>
        <v>19926</v>
      </c>
      <c r="Z11" s="112">
        <v>0</v>
      </c>
      <c r="AA11" s="112">
        <v>0</v>
      </c>
      <c r="AB11" s="58" t="s">
        <v>260</v>
      </c>
      <c r="AC11" s="141">
        <f>J11-Y11</f>
        <v>0</v>
      </c>
    </row>
    <row r="12" spans="1:29" ht="27.95" customHeight="1" outlineLevel="1" x14ac:dyDescent="0.25">
      <c r="A12" s="15" t="s">
        <v>62</v>
      </c>
      <c r="B12" s="16" t="s">
        <v>45</v>
      </c>
      <c r="C12" s="15" t="s">
        <v>33</v>
      </c>
      <c r="D12" s="15" t="s">
        <v>34</v>
      </c>
      <c r="E12" s="15" t="s">
        <v>66</v>
      </c>
      <c r="F12" s="15" t="s">
        <v>91</v>
      </c>
      <c r="G12" s="26">
        <v>600</v>
      </c>
      <c r="H12" s="26"/>
      <c r="I12" s="15" t="s">
        <v>77</v>
      </c>
      <c r="J12" s="130">
        <v>2460</v>
      </c>
      <c r="K12" s="40">
        <v>0</v>
      </c>
      <c r="L12" s="40">
        <v>0</v>
      </c>
      <c r="M12" s="40">
        <v>0</v>
      </c>
      <c r="N12" s="40">
        <f>G12*I8</f>
        <v>2460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108">
        <f>SUM(K12:V12)</f>
        <v>2460</v>
      </c>
      <c r="X12" s="101"/>
      <c r="Y12" s="101"/>
      <c r="Z12" s="113"/>
      <c r="AA12" s="113"/>
      <c r="AB12" s="17"/>
    </row>
    <row r="13" spans="1:29" ht="27.95" customHeight="1" outlineLevel="1" x14ac:dyDescent="0.25">
      <c r="A13" s="15" t="s">
        <v>62</v>
      </c>
      <c r="B13" s="16" t="s">
        <v>45</v>
      </c>
      <c r="C13" s="15" t="s">
        <v>33</v>
      </c>
      <c r="D13" s="15" t="s">
        <v>34</v>
      </c>
      <c r="E13" s="15" t="s">
        <v>66</v>
      </c>
      <c r="F13" s="15" t="s">
        <v>91</v>
      </c>
      <c r="G13" s="26">
        <f>300*6</f>
        <v>1800</v>
      </c>
      <c r="H13" s="26"/>
      <c r="I13" s="15" t="s">
        <v>78</v>
      </c>
      <c r="J13" s="130">
        <v>7379.9999999999991</v>
      </c>
      <c r="K13" s="40">
        <v>0</v>
      </c>
      <c r="L13" s="40">
        <v>0</v>
      </c>
      <c r="M13" s="40">
        <v>0</v>
      </c>
      <c r="N13" s="40">
        <f>G13*I8</f>
        <v>7379.9999999999991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108">
        <f t="shared" ref="W13:W32" si="2">SUM(K13:V13)</f>
        <v>7379.9999999999991</v>
      </c>
      <c r="X13" s="101"/>
      <c r="Y13" s="101"/>
      <c r="Z13" s="113"/>
      <c r="AA13" s="113"/>
      <c r="AB13" s="17"/>
    </row>
    <row r="14" spans="1:29" ht="27.95" customHeight="1" outlineLevel="1" x14ac:dyDescent="0.25">
      <c r="A14" s="15" t="s">
        <v>62</v>
      </c>
      <c r="B14" s="16" t="s">
        <v>45</v>
      </c>
      <c r="C14" s="15" t="s">
        <v>33</v>
      </c>
      <c r="D14" s="15" t="s">
        <v>34</v>
      </c>
      <c r="E14" s="15" t="s">
        <v>66</v>
      </c>
      <c r="F14" s="15" t="s">
        <v>91</v>
      </c>
      <c r="G14" s="26">
        <v>300</v>
      </c>
      <c r="H14" s="26"/>
      <c r="I14" s="15" t="s">
        <v>79</v>
      </c>
      <c r="J14" s="130">
        <v>1230</v>
      </c>
      <c r="K14" s="40">
        <v>0</v>
      </c>
      <c r="L14" s="40">
        <v>0</v>
      </c>
      <c r="M14" s="40">
        <v>0</v>
      </c>
      <c r="N14" s="40">
        <f>G14*I8</f>
        <v>1230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108">
        <f t="shared" si="2"/>
        <v>1230</v>
      </c>
      <c r="X14" s="101"/>
      <c r="Y14" s="101"/>
      <c r="Z14" s="113"/>
      <c r="AA14" s="113"/>
      <c r="AB14" s="17"/>
    </row>
    <row r="15" spans="1:29" ht="27.95" customHeight="1" outlineLevel="1" x14ac:dyDescent="0.25">
      <c r="A15" s="15" t="s">
        <v>62</v>
      </c>
      <c r="B15" s="16" t="s">
        <v>45</v>
      </c>
      <c r="C15" s="15" t="s">
        <v>33</v>
      </c>
      <c r="D15" s="15" t="s">
        <v>34</v>
      </c>
      <c r="E15" s="15" t="s">
        <v>71</v>
      </c>
      <c r="F15" s="15" t="s">
        <v>91</v>
      </c>
      <c r="G15" s="26">
        <v>30</v>
      </c>
      <c r="H15" s="26"/>
      <c r="I15" s="15" t="s">
        <v>76</v>
      </c>
      <c r="J15" s="130">
        <v>1475.9999999999998</v>
      </c>
      <c r="K15" s="40">
        <f t="shared" ref="K15:V15" si="3">$G$15*$I$8</f>
        <v>122.99999999999999</v>
      </c>
      <c r="L15" s="40">
        <f t="shared" si="3"/>
        <v>122.99999999999999</v>
      </c>
      <c r="M15" s="40">
        <f t="shared" si="3"/>
        <v>122.99999999999999</v>
      </c>
      <c r="N15" s="40">
        <f t="shared" si="3"/>
        <v>122.99999999999999</v>
      </c>
      <c r="O15" s="40">
        <f t="shared" si="3"/>
        <v>122.99999999999999</v>
      </c>
      <c r="P15" s="40">
        <f t="shared" si="3"/>
        <v>122.99999999999999</v>
      </c>
      <c r="Q15" s="40">
        <f t="shared" si="3"/>
        <v>122.99999999999999</v>
      </c>
      <c r="R15" s="40">
        <f t="shared" si="3"/>
        <v>122.99999999999999</v>
      </c>
      <c r="S15" s="40">
        <f t="shared" si="3"/>
        <v>122.99999999999999</v>
      </c>
      <c r="T15" s="40">
        <f t="shared" si="3"/>
        <v>122.99999999999999</v>
      </c>
      <c r="U15" s="40">
        <f t="shared" si="3"/>
        <v>122.99999999999999</v>
      </c>
      <c r="V15" s="40">
        <f t="shared" si="3"/>
        <v>122.99999999999999</v>
      </c>
      <c r="W15" s="108">
        <f t="shared" si="2"/>
        <v>1475.9999999999998</v>
      </c>
      <c r="X15" s="101"/>
      <c r="Y15" s="101"/>
      <c r="Z15" s="113"/>
      <c r="AA15" s="113"/>
      <c r="AB15" s="17"/>
    </row>
    <row r="16" spans="1:29" ht="27.95" customHeight="1" outlineLevel="1" x14ac:dyDescent="0.25">
      <c r="A16" s="15" t="s">
        <v>62</v>
      </c>
      <c r="B16" s="16" t="s">
        <v>45</v>
      </c>
      <c r="C16" s="15" t="s">
        <v>33</v>
      </c>
      <c r="D16" s="15" t="s">
        <v>34</v>
      </c>
      <c r="E16" s="15" t="s">
        <v>66</v>
      </c>
      <c r="F16" s="15" t="s">
        <v>91</v>
      </c>
      <c r="G16" s="26">
        <v>600</v>
      </c>
      <c r="H16" s="26"/>
      <c r="I16" s="15" t="s">
        <v>75</v>
      </c>
      <c r="J16" s="130">
        <v>2460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f>G16*$I$8</f>
        <v>2460</v>
      </c>
      <c r="T16" s="40">
        <v>0</v>
      </c>
      <c r="U16" s="40">
        <v>0</v>
      </c>
      <c r="V16" s="40">
        <v>0</v>
      </c>
      <c r="W16" s="108">
        <f t="shared" si="2"/>
        <v>2460</v>
      </c>
      <c r="X16" s="101"/>
      <c r="Y16" s="101"/>
      <c r="Z16" s="113"/>
      <c r="AA16" s="113"/>
      <c r="AB16" s="17"/>
    </row>
    <row r="17" spans="1:29" ht="27.95" customHeight="1" outlineLevel="1" x14ac:dyDescent="0.25">
      <c r="A17" s="15" t="s">
        <v>62</v>
      </c>
      <c r="B17" s="16" t="s">
        <v>45</v>
      </c>
      <c r="C17" s="15" t="s">
        <v>33</v>
      </c>
      <c r="D17" s="15" t="s">
        <v>34</v>
      </c>
      <c r="E17" s="15" t="s">
        <v>66</v>
      </c>
      <c r="F17" s="15" t="s">
        <v>91</v>
      </c>
      <c r="G17" s="26">
        <v>600</v>
      </c>
      <c r="H17" s="26"/>
      <c r="I17" s="15" t="s">
        <v>74</v>
      </c>
      <c r="J17" s="130">
        <v>2460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f>G17*$I$8</f>
        <v>2460</v>
      </c>
      <c r="T17" s="40">
        <v>0</v>
      </c>
      <c r="U17" s="40">
        <v>0</v>
      </c>
      <c r="V17" s="40">
        <v>0</v>
      </c>
      <c r="W17" s="108">
        <f t="shared" si="2"/>
        <v>2460</v>
      </c>
      <c r="X17" s="101"/>
      <c r="Y17" s="101"/>
      <c r="Z17" s="113"/>
      <c r="AA17" s="113"/>
      <c r="AB17" s="17"/>
    </row>
    <row r="18" spans="1:29" ht="27.95" customHeight="1" outlineLevel="1" x14ac:dyDescent="0.25">
      <c r="A18" s="15" t="s">
        <v>62</v>
      </c>
      <c r="B18" s="16" t="s">
        <v>45</v>
      </c>
      <c r="C18" s="15" t="s">
        <v>33</v>
      </c>
      <c r="D18" s="15" t="s">
        <v>34</v>
      </c>
      <c r="E18" s="15" t="s">
        <v>66</v>
      </c>
      <c r="F18" s="15" t="s">
        <v>91</v>
      </c>
      <c r="G18" s="26">
        <v>300</v>
      </c>
      <c r="H18" s="26"/>
      <c r="I18" s="15" t="s">
        <v>72</v>
      </c>
      <c r="J18" s="130">
        <v>1230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f>G18*$I$8</f>
        <v>1230</v>
      </c>
      <c r="T18" s="40">
        <v>0</v>
      </c>
      <c r="U18" s="40">
        <v>0</v>
      </c>
      <c r="V18" s="40">
        <v>0</v>
      </c>
      <c r="W18" s="108">
        <f t="shared" si="2"/>
        <v>1230</v>
      </c>
      <c r="X18" s="101"/>
      <c r="Y18" s="101"/>
      <c r="Z18" s="113"/>
      <c r="AA18" s="113"/>
      <c r="AB18" s="17"/>
    </row>
    <row r="19" spans="1:29" ht="27.95" customHeight="1" outlineLevel="1" x14ac:dyDescent="0.25">
      <c r="A19" s="15" t="s">
        <v>62</v>
      </c>
      <c r="B19" s="16" t="s">
        <v>45</v>
      </c>
      <c r="C19" s="15" t="s">
        <v>33</v>
      </c>
      <c r="D19" s="15" t="s">
        <v>34</v>
      </c>
      <c r="E19" s="15" t="s">
        <v>66</v>
      </c>
      <c r="F19" s="15" t="s">
        <v>91</v>
      </c>
      <c r="G19" s="26">
        <v>300</v>
      </c>
      <c r="H19" s="26"/>
      <c r="I19" s="15" t="s">
        <v>73</v>
      </c>
      <c r="J19" s="130">
        <v>1230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f>G19*$I$8</f>
        <v>1230</v>
      </c>
      <c r="T19" s="40">
        <v>0</v>
      </c>
      <c r="U19" s="40">
        <v>0</v>
      </c>
      <c r="V19" s="40">
        <v>0</v>
      </c>
      <c r="W19" s="108">
        <f t="shared" si="2"/>
        <v>1230</v>
      </c>
      <c r="X19" s="101"/>
      <c r="Y19" s="101"/>
      <c r="Z19" s="113"/>
      <c r="AA19" s="113"/>
      <c r="AB19" s="17"/>
    </row>
    <row r="20" spans="1:29" ht="26.25" customHeight="1" x14ac:dyDescent="0.25">
      <c r="A20" s="53" t="s">
        <v>62</v>
      </c>
      <c r="B20" s="54" t="s">
        <v>45</v>
      </c>
      <c r="C20" s="53" t="s">
        <v>33</v>
      </c>
      <c r="D20" s="53" t="s">
        <v>80</v>
      </c>
      <c r="E20" s="53" t="s">
        <v>66</v>
      </c>
      <c r="F20" s="53" t="s">
        <v>91</v>
      </c>
      <c r="G20" s="55"/>
      <c r="H20" s="55"/>
      <c r="I20" s="53" t="s">
        <v>128</v>
      </c>
      <c r="J20" s="129">
        <f>SUM(J21:J22)</f>
        <v>31159.999999999996</v>
      </c>
      <c r="K20" s="56">
        <f>SUM(K21:K22)</f>
        <v>0</v>
      </c>
      <c r="L20" s="56">
        <f t="shared" ref="L20:V20" si="4">SUM(L21:L22)</f>
        <v>0</v>
      </c>
      <c r="M20" s="56">
        <f t="shared" si="4"/>
        <v>0</v>
      </c>
      <c r="N20" s="56">
        <f t="shared" si="4"/>
        <v>0</v>
      </c>
      <c r="O20" s="56">
        <f t="shared" si="4"/>
        <v>6149.9999999999991</v>
      </c>
      <c r="P20" s="56">
        <f t="shared" si="4"/>
        <v>0</v>
      </c>
      <c r="Q20" s="56">
        <f t="shared" si="4"/>
        <v>0</v>
      </c>
      <c r="R20" s="56">
        <f t="shared" si="4"/>
        <v>0</v>
      </c>
      <c r="S20" s="56">
        <f t="shared" si="4"/>
        <v>0</v>
      </c>
      <c r="T20" s="56">
        <f t="shared" si="4"/>
        <v>31159.999999999996</v>
      </c>
      <c r="U20" s="56">
        <f t="shared" si="4"/>
        <v>0</v>
      </c>
      <c r="V20" s="56">
        <f t="shared" si="4"/>
        <v>0</v>
      </c>
      <c r="W20" s="57">
        <f t="shared" ref="W20" si="5">SUM(K20:V20)</f>
        <v>37309.999999999993</v>
      </c>
      <c r="X20" s="100">
        <f>W20/$W$53</f>
        <v>7.1561103320766817E-2</v>
      </c>
      <c r="Y20" s="112">
        <f>SUM(Y21:Y22)</f>
        <v>31159.999999999996</v>
      </c>
      <c r="Z20" s="112">
        <f>SUM(Z21:Z22)</f>
        <v>6149.9999999999991</v>
      </c>
      <c r="AA20" s="112">
        <f>SUM(AA21:AA22)</f>
        <v>0</v>
      </c>
      <c r="AB20" s="58" t="s">
        <v>131</v>
      </c>
      <c r="AC20" s="141">
        <f>J20-Y20</f>
        <v>0</v>
      </c>
    </row>
    <row r="21" spans="1:29" ht="20.45" customHeight="1" outlineLevel="1" x14ac:dyDescent="0.25">
      <c r="A21" s="41" t="s">
        <v>62</v>
      </c>
      <c r="B21" s="42" t="s">
        <v>45</v>
      </c>
      <c r="C21" s="41" t="s">
        <v>33</v>
      </c>
      <c r="D21" s="43" t="s">
        <v>80</v>
      </c>
      <c r="E21" s="41" t="s">
        <v>66</v>
      </c>
      <c r="F21" s="41" t="s">
        <v>91</v>
      </c>
      <c r="G21" s="44">
        <v>7600</v>
      </c>
      <c r="H21" s="44"/>
      <c r="I21" s="41" t="s">
        <v>81</v>
      </c>
      <c r="J21" s="130">
        <f>G21*I8</f>
        <v>31159.999999999996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f>G21*I8</f>
        <v>31159.999999999996</v>
      </c>
      <c r="U21" s="40">
        <v>0</v>
      </c>
      <c r="V21" s="40">
        <v>0</v>
      </c>
      <c r="W21" s="108">
        <f t="shared" si="2"/>
        <v>31159.999999999996</v>
      </c>
      <c r="X21" s="48"/>
      <c r="Y21" s="114">
        <f>W21</f>
        <v>31159.999999999996</v>
      </c>
      <c r="Z21" s="113"/>
      <c r="AA21" s="113"/>
      <c r="AB21" s="17"/>
    </row>
    <row r="22" spans="1:29" ht="26.25" customHeight="1" outlineLevel="1" x14ac:dyDescent="0.25">
      <c r="A22" s="41" t="s">
        <v>62</v>
      </c>
      <c r="B22" s="45" t="s">
        <v>45</v>
      </c>
      <c r="C22" s="46" t="s">
        <v>33</v>
      </c>
      <c r="D22" s="43" t="s">
        <v>80</v>
      </c>
      <c r="E22" s="46" t="s">
        <v>66</v>
      </c>
      <c r="F22" s="41" t="s">
        <v>91</v>
      </c>
      <c r="G22" s="47">
        <v>1500</v>
      </c>
      <c r="H22" s="47"/>
      <c r="I22" s="46" t="s">
        <v>259</v>
      </c>
      <c r="J22" s="130">
        <v>0</v>
      </c>
      <c r="K22" s="40">
        <v>0</v>
      </c>
      <c r="L22" s="40">
        <v>0</v>
      </c>
      <c r="M22" s="40">
        <v>0</v>
      </c>
      <c r="N22" s="40">
        <v>0</v>
      </c>
      <c r="O22" s="40">
        <f>G22*I8</f>
        <v>6149.9999999999991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108">
        <f t="shared" si="2"/>
        <v>6149.9999999999991</v>
      </c>
      <c r="X22" s="48"/>
      <c r="Y22" s="48"/>
      <c r="Z22" s="114">
        <f>W22</f>
        <v>6149.9999999999991</v>
      </c>
      <c r="AA22" s="114"/>
      <c r="AB22" s="17"/>
    </row>
    <row r="23" spans="1:29" ht="26.25" customHeight="1" x14ac:dyDescent="0.25">
      <c r="A23" s="53" t="s">
        <v>62</v>
      </c>
      <c r="B23" s="54" t="s">
        <v>45</v>
      </c>
      <c r="C23" s="53" t="s">
        <v>35</v>
      </c>
      <c r="D23" s="53" t="s">
        <v>83</v>
      </c>
      <c r="E23" s="53" t="s">
        <v>71</v>
      </c>
      <c r="F23" s="53" t="s">
        <v>91</v>
      </c>
      <c r="G23" s="55"/>
      <c r="H23" s="55"/>
      <c r="I23" s="53" t="s">
        <v>204</v>
      </c>
      <c r="J23" s="129">
        <f>SUM(J24:J25)</f>
        <v>17367.599999999999</v>
      </c>
      <c r="K23" s="56">
        <f>SUM(K24:K25)</f>
        <v>1447.3</v>
      </c>
      <c r="L23" s="56">
        <f t="shared" ref="L23:V23" si="6">SUM(L24:L25)</f>
        <v>1447.3</v>
      </c>
      <c r="M23" s="56">
        <f t="shared" si="6"/>
        <v>1447.3</v>
      </c>
      <c r="N23" s="56">
        <f t="shared" si="6"/>
        <v>1652.3</v>
      </c>
      <c r="O23" s="56">
        <f t="shared" si="6"/>
        <v>1652.3</v>
      </c>
      <c r="P23" s="56">
        <f t="shared" si="6"/>
        <v>1652.3</v>
      </c>
      <c r="Q23" s="56">
        <f t="shared" si="6"/>
        <v>1652.3</v>
      </c>
      <c r="R23" s="56">
        <f t="shared" si="6"/>
        <v>1857.3</v>
      </c>
      <c r="S23" s="56">
        <f t="shared" si="6"/>
        <v>1857.3</v>
      </c>
      <c r="T23" s="56">
        <f t="shared" si="6"/>
        <v>1857.3</v>
      </c>
      <c r="U23" s="56">
        <f t="shared" si="6"/>
        <v>1857.3</v>
      </c>
      <c r="V23" s="56">
        <f t="shared" si="6"/>
        <v>1857.3</v>
      </c>
      <c r="W23" s="57">
        <f t="shared" ref="W23:W33" si="7">SUM(K23:V23)</f>
        <v>20237.599999999995</v>
      </c>
      <c r="X23" s="100">
        <f>W23/$W$53</f>
        <v>3.8816000658385162E-2</v>
      </c>
      <c r="Y23" s="112">
        <f>SUM(Y24:Y25)</f>
        <v>17367.599999999995</v>
      </c>
      <c r="Z23" s="112">
        <f>SUM(Z24:Z25)</f>
        <v>2869.9999999999995</v>
      </c>
      <c r="AA23" s="112">
        <f>SUM(AA24:AA25)</f>
        <v>0</v>
      </c>
      <c r="AB23" s="58"/>
      <c r="AC23" s="141">
        <f>J23-Y23</f>
        <v>0</v>
      </c>
    </row>
    <row r="24" spans="1:29" s="80" customFormat="1" ht="26.25" customHeight="1" outlineLevel="1" collapsed="1" x14ac:dyDescent="0.25">
      <c r="A24" s="75" t="s">
        <v>62</v>
      </c>
      <c r="B24" s="76" t="s">
        <v>45</v>
      </c>
      <c r="C24" s="75" t="s">
        <v>35</v>
      </c>
      <c r="D24" s="75" t="s">
        <v>83</v>
      </c>
      <c r="E24" s="75" t="s">
        <v>71</v>
      </c>
      <c r="F24" s="75" t="s">
        <v>91</v>
      </c>
      <c r="G24" s="77">
        <v>353</v>
      </c>
      <c r="H24" s="77"/>
      <c r="I24" s="75" t="s">
        <v>202</v>
      </c>
      <c r="J24" s="130">
        <f>G24*I8*12</f>
        <v>17367.599999999999</v>
      </c>
      <c r="K24" s="78">
        <f>G24*I8</f>
        <v>1447.3</v>
      </c>
      <c r="L24" s="78">
        <f>K24</f>
        <v>1447.3</v>
      </c>
      <c r="M24" s="78">
        <f t="shared" ref="M24:V24" si="8">L24</f>
        <v>1447.3</v>
      </c>
      <c r="N24" s="78">
        <f t="shared" si="8"/>
        <v>1447.3</v>
      </c>
      <c r="O24" s="78">
        <f t="shared" si="8"/>
        <v>1447.3</v>
      </c>
      <c r="P24" s="78">
        <f t="shared" si="8"/>
        <v>1447.3</v>
      </c>
      <c r="Q24" s="78">
        <f t="shared" si="8"/>
        <v>1447.3</v>
      </c>
      <c r="R24" s="78">
        <f t="shared" si="8"/>
        <v>1447.3</v>
      </c>
      <c r="S24" s="78">
        <f t="shared" si="8"/>
        <v>1447.3</v>
      </c>
      <c r="T24" s="78">
        <f t="shared" si="8"/>
        <v>1447.3</v>
      </c>
      <c r="U24" s="78">
        <f t="shared" si="8"/>
        <v>1447.3</v>
      </c>
      <c r="V24" s="78">
        <f t="shared" si="8"/>
        <v>1447.3</v>
      </c>
      <c r="W24" s="108">
        <f t="shared" si="2"/>
        <v>17367.599999999995</v>
      </c>
      <c r="X24" s="102"/>
      <c r="Y24" s="114">
        <f>W24</f>
        <v>17367.599999999995</v>
      </c>
      <c r="Z24" s="115"/>
      <c r="AA24" s="115"/>
      <c r="AB24" s="79"/>
    </row>
    <row r="25" spans="1:29" s="80" customFormat="1" ht="26.25" customHeight="1" outlineLevel="1" collapsed="1" x14ac:dyDescent="0.25">
      <c r="A25" s="75" t="s">
        <v>62</v>
      </c>
      <c r="B25" s="76" t="s">
        <v>45</v>
      </c>
      <c r="C25" s="75" t="s">
        <v>35</v>
      </c>
      <c r="D25" s="75" t="s">
        <v>83</v>
      </c>
      <c r="E25" s="75" t="s">
        <v>71</v>
      </c>
      <c r="F25" s="75" t="s">
        <v>91</v>
      </c>
      <c r="G25" s="77">
        <v>88</v>
      </c>
      <c r="H25" s="77"/>
      <c r="I25" s="81" t="s">
        <v>203</v>
      </c>
      <c r="J25" s="130">
        <v>0</v>
      </c>
      <c r="K25" s="78">
        <v>0</v>
      </c>
      <c r="L25" s="78">
        <f>K25</f>
        <v>0</v>
      </c>
      <c r="M25" s="78">
        <f t="shared" ref="M25" si="9">L25</f>
        <v>0</v>
      </c>
      <c r="N25" s="78">
        <f>50*I8</f>
        <v>204.99999999999997</v>
      </c>
      <c r="O25" s="78">
        <f t="shared" ref="O25" si="10">N25</f>
        <v>204.99999999999997</v>
      </c>
      <c r="P25" s="78">
        <f t="shared" ref="P25" si="11">O25</f>
        <v>204.99999999999997</v>
      </c>
      <c r="Q25" s="78">
        <f t="shared" ref="Q25" si="12">P25</f>
        <v>204.99999999999997</v>
      </c>
      <c r="R25" s="78">
        <f>100*I8</f>
        <v>409.99999999999994</v>
      </c>
      <c r="S25" s="78">
        <f t="shared" ref="S25" si="13">R25</f>
        <v>409.99999999999994</v>
      </c>
      <c r="T25" s="78">
        <f t="shared" ref="T25" si="14">S25</f>
        <v>409.99999999999994</v>
      </c>
      <c r="U25" s="78">
        <f t="shared" ref="U25" si="15">T25</f>
        <v>409.99999999999994</v>
      </c>
      <c r="V25" s="78">
        <f t="shared" ref="V25" si="16">U25</f>
        <v>409.99999999999994</v>
      </c>
      <c r="W25" s="108">
        <f t="shared" si="2"/>
        <v>2869.9999999999995</v>
      </c>
      <c r="X25" s="102"/>
      <c r="Y25" s="102"/>
      <c r="Z25" s="115">
        <f>W25</f>
        <v>2869.9999999999995</v>
      </c>
      <c r="AA25" s="115"/>
      <c r="AB25" s="79"/>
    </row>
    <row r="26" spans="1:29" ht="26.25" customHeight="1" x14ac:dyDescent="0.25">
      <c r="A26" s="53" t="s">
        <v>62</v>
      </c>
      <c r="B26" s="54" t="s">
        <v>45</v>
      </c>
      <c r="C26" s="53" t="s">
        <v>35</v>
      </c>
      <c r="D26" s="53" t="s">
        <v>36</v>
      </c>
      <c r="E26" s="53" t="s">
        <v>71</v>
      </c>
      <c r="F26" s="53" t="s">
        <v>91</v>
      </c>
      <c r="G26" s="55"/>
      <c r="H26" s="55"/>
      <c r="I26" s="53" t="s">
        <v>36</v>
      </c>
      <c r="J26" s="129">
        <f>SUM(J27:J29)</f>
        <v>104800</v>
      </c>
      <c r="K26" s="56">
        <f t="shared" ref="K26:U26" si="17">SUM(K27:K29)</f>
        <v>9200</v>
      </c>
      <c r="L26" s="56">
        <f t="shared" si="17"/>
        <v>8500</v>
      </c>
      <c r="M26" s="56">
        <f t="shared" si="17"/>
        <v>8500</v>
      </c>
      <c r="N26" s="56">
        <f t="shared" si="17"/>
        <v>10700</v>
      </c>
      <c r="O26" s="56">
        <f t="shared" si="17"/>
        <v>10000</v>
      </c>
      <c r="P26" s="56">
        <f t="shared" si="17"/>
        <v>10000</v>
      </c>
      <c r="Q26" s="56">
        <f t="shared" si="17"/>
        <v>10700</v>
      </c>
      <c r="R26" s="56">
        <f t="shared" si="17"/>
        <v>10000</v>
      </c>
      <c r="S26" s="56">
        <f t="shared" si="17"/>
        <v>10000</v>
      </c>
      <c r="T26" s="56">
        <f t="shared" si="17"/>
        <v>10700</v>
      </c>
      <c r="U26" s="56">
        <f t="shared" si="17"/>
        <v>10000</v>
      </c>
      <c r="V26" s="56">
        <f>SUM(V27:V29)</f>
        <v>10000</v>
      </c>
      <c r="W26" s="57">
        <f t="shared" ref="W26" si="18">SUM(K26:V26)</f>
        <v>118300</v>
      </c>
      <c r="X26" s="100">
        <f>W26/$W$53</f>
        <v>0.22690105930974849</v>
      </c>
      <c r="Y26" s="112">
        <f>SUM(Y27:Y29)</f>
        <v>104800</v>
      </c>
      <c r="Z26" s="112">
        <f>SUM(Z27:Z29)</f>
        <v>13500</v>
      </c>
      <c r="AA26" s="112">
        <f>SUM(AA27:AA29)</f>
        <v>0</v>
      </c>
      <c r="AB26" s="58"/>
      <c r="AC26" s="141">
        <f>J26-Y26</f>
        <v>0</v>
      </c>
    </row>
    <row r="27" spans="1:29" ht="26.25" customHeight="1" outlineLevel="1" x14ac:dyDescent="0.25">
      <c r="A27" s="41" t="s">
        <v>62</v>
      </c>
      <c r="B27" s="42" t="s">
        <v>45</v>
      </c>
      <c r="C27" s="41" t="s">
        <v>35</v>
      </c>
      <c r="D27" s="43" t="s">
        <v>36</v>
      </c>
      <c r="E27" s="41" t="s">
        <v>71</v>
      </c>
      <c r="F27" s="41" t="s">
        <v>91</v>
      </c>
      <c r="G27" s="44"/>
      <c r="H27" s="44">
        <v>8500</v>
      </c>
      <c r="I27" s="41"/>
      <c r="J27" s="130">
        <f>H27*12</f>
        <v>102000</v>
      </c>
      <c r="K27" s="40">
        <f>H27</f>
        <v>8500</v>
      </c>
      <c r="L27" s="40">
        <f>K27</f>
        <v>8500</v>
      </c>
      <c r="M27" s="40">
        <f t="shared" ref="M27:V27" si="19">K27</f>
        <v>8500</v>
      </c>
      <c r="N27" s="40">
        <f t="shared" si="19"/>
        <v>8500</v>
      </c>
      <c r="O27" s="40">
        <f t="shared" si="19"/>
        <v>8500</v>
      </c>
      <c r="P27" s="40">
        <f t="shared" si="19"/>
        <v>8500</v>
      </c>
      <c r="Q27" s="40">
        <f t="shared" si="19"/>
        <v>8500</v>
      </c>
      <c r="R27" s="40">
        <f t="shared" si="19"/>
        <v>8500</v>
      </c>
      <c r="S27" s="40">
        <f t="shared" si="19"/>
        <v>8500</v>
      </c>
      <c r="T27" s="40">
        <f t="shared" si="19"/>
        <v>8500</v>
      </c>
      <c r="U27" s="40">
        <f t="shared" si="19"/>
        <v>8500</v>
      </c>
      <c r="V27" s="40">
        <f t="shared" si="19"/>
        <v>8500</v>
      </c>
      <c r="W27" s="108">
        <f t="shared" si="2"/>
        <v>102000</v>
      </c>
      <c r="X27" s="50"/>
      <c r="Y27" s="116">
        <f>W27</f>
        <v>102000</v>
      </c>
      <c r="Z27" s="116"/>
      <c r="AA27" s="116"/>
      <c r="AB27" s="49"/>
    </row>
    <row r="28" spans="1:29" ht="26.25" customHeight="1" outlineLevel="1" x14ac:dyDescent="0.25">
      <c r="A28" s="41" t="s">
        <v>62</v>
      </c>
      <c r="B28" s="42" t="s">
        <v>45</v>
      </c>
      <c r="C28" s="41" t="s">
        <v>35</v>
      </c>
      <c r="D28" s="43" t="s">
        <v>36</v>
      </c>
      <c r="E28" s="41" t="s">
        <v>66</v>
      </c>
      <c r="F28" s="41" t="s">
        <v>91</v>
      </c>
      <c r="G28" s="44"/>
      <c r="H28" s="44">
        <v>2800</v>
      </c>
      <c r="I28" s="41" t="s">
        <v>205</v>
      </c>
      <c r="J28" s="130">
        <f>H28</f>
        <v>2800</v>
      </c>
      <c r="K28" s="40">
        <v>700</v>
      </c>
      <c r="L28" s="40">
        <v>0</v>
      </c>
      <c r="M28" s="40">
        <v>0</v>
      </c>
      <c r="N28" s="40">
        <v>700</v>
      </c>
      <c r="O28" s="40">
        <f t="shared" ref="O28" si="20">M28</f>
        <v>0</v>
      </c>
      <c r="P28" s="40">
        <v>0</v>
      </c>
      <c r="Q28" s="40">
        <v>700</v>
      </c>
      <c r="R28" s="40">
        <f t="shared" ref="R28" si="21">P28</f>
        <v>0</v>
      </c>
      <c r="S28" s="40">
        <v>0</v>
      </c>
      <c r="T28" s="40">
        <v>700</v>
      </c>
      <c r="U28" s="40">
        <f t="shared" ref="U28" si="22">S28</f>
        <v>0</v>
      </c>
      <c r="V28" s="40">
        <v>0</v>
      </c>
      <c r="W28" s="108">
        <f t="shared" si="2"/>
        <v>2800</v>
      </c>
      <c r="X28" s="50"/>
      <c r="Y28" s="116">
        <f t="shared" ref="Y28" si="23">W28</f>
        <v>2800</v>
      </c>
      <c r="Z28" s="116"/>
      <c r="AA28" s="116"/>
      <c r="AB28" s="49"/>
    </row>
    <row r="29" spans="1:29" ht="26.25" customHeight="1" outlineLevel="1" x14ac:dyDescent="0.25">
      <c r="A29" s="46" t="s">
        <v>62</v>
      </c>
      <c r="B29" s="45" t="s">
        <v>45</v>
      </c>
      <c r="C29" s="46" t="s">
        <v>35</v>
      </c>
      <c r="D29" s="46" t="s">
        <v>36</v>
      </c>
      <c r="E29" s="46" t="s">
        <v>71</v>
      </c>
      <c r="F29" s="46" t="s">
        <v>91</v>
      </c>
      <c r="G29" s="46"/>
      <c r="H29" s="47">
        <v>1500</v>
      </c>
      <c r="I29" s="46" t="s">
        <v>265</v>
      </c>
      <c r="J29" s="130">
        <v>0</v>
      </c>
      <c r="K29" s="40">
        <v>0</v>
      </c>
      <c r="L29" s="40">
        <v>0</v>
      </c>
      <c r="M29" s="40">
        <v>0</v>
      </c>
      <c r="N29" s="40">
        <v>1500</v>
      </c>
      <c r="O29" s="40">
        <v>1500</v>
      </c>
      <c r="P29" s="40">
        <v>1500</v>
      </c>
      <c r="Q29" s="40">
        <v>1500</v>
      </c>
      <c r="R29" s="40">
        <v>1500</v>
      </c>
      <c r="S29" s="40">
        <v>1500</v>
      </c>
      <c r="T29" s="40">
        <v>1500</v>
      </c>
      <c r="U29" s="40">
        <v>1500</v>
      </c>
      <c r="V29" s="40">
        <v>1500</v>
      </c>
      <c r="W29" s="108">
        <f t="shared" si="2"/>
        <v>13500</v>
      </c>
      <c r="X29" s="50"/>
      <c r="Y29" s="50"/>
      <c r="Z29" s="116">
        <f>W29</f>
        <v>13500</v>
      </c>
      <c r="AA29" s="116"/>
      <c r="AB29" s="49"/>
    </row>
    <row r="30" spans="1:29" ht="26.25" customHeight="1" x14ac:dyDescent="0.25">
      <c r="A30" s="53" t="s">
        <v>62</v>
      </c>
      <c r="B30" s="54" t="s">
        <v>45</v>
      </c>
      <c r="C30" s="53" t="s">
        <v>35</v>
      </c>
      <c r="D30" s="53" t="s">
        <v>84</v>
      </c>
      <c r="E30" s="53" t="s">
        <v>71</v>
      </c>
      <c r="F30" s="53" t="s">
        <v>91</v>
      </c>
      <c r="G30" s="55"/>
      <c r="H30" s="55"/>
      <c r="I30" s="53" t="s">
        <v>134</v>
      </c>
      <c r="J30" s="129">
        <f>SUM(J31:J32)</f>
        <v>4800</v>
      </c>
      <c r="K30" s="56">
        <f>SUM(K31:K32)</f>
        <v>420</v>
      </c>
      <c r="L30" s="56">
        <f t="shared" ref="L30:V30" si="24">SUM(L31:L32)</f>
        <v>420</v>
      </c>
      <c r="M30" s="56">
        <f t="shared" si="24"/>
        <v>420</v>
      </c>
      <c r="N30" s="56">
        <f t="shared" si="24"/>
        <v>420</v>
      </c>
      <c r="O30" s="56">
        <f t="shared" si="24"/>
        <v>420</v>
      </c>
      <c r="P30" s="56">
        <f t="shared" si="24"/>
        <v>520</v>
      </c>
      <c r="Q30" s="56">
        <f t="shared" si="24"/>
        <v>520</v>
      </c>
      <c r="R30" s="56">
        <f t="shared" si="24"/>
        <v>520</v>
      </c>
      <c r="S30" s="56">
        <f t="shared" si="24"/>
        <v>620</v>
      </c>
      <c r="T30" s="56">
        <f t="shared" si="24"/>
        <v>620</v>
      </c>
      <c r="U30" s="56">
        <f t="shared" si="24"/>
        <v>620</v>
      </c>
      <c r="V30" s="56">
        <f t="shared" si="24"/>
        <v>620</v>
      </c>
      <c r="W30" s="57">
        <f t="shared" ref="W30" si="25">SUM(K30:V30)</f>
        <v>6140</v>
      </c>
      <c r="X30" s="100">
        <f>W30/$W$53</f>
        <v>1.1776606121401993E-2</v>
      </c>
      <c r="Y30" s="112">
        <f>SUM(Y31:Y32)</f>
        <v>5040</v>
      </c>
      <c r="Z30" s="112">
        <f>SUM(Z31:Z32)</f>
        <v>1100</v>
      </c>
      <c r="AA30" s="112">
        <f>SUM(AA31:AA32)</f>
        <v>0</v>
      </c>
      <c r="AB30" s="58"/>
      <c r="AC30" s="141">
        <f>J30-Y30</f>
        <v>-240</v>
      </c>
    </row>
    <row r="31" spans="1:29" ht="26.25" customHeight="1" outlineLevel="1" x14ac:dyDescent="0.25">
      <c r="A31" s="41" t="s">
        <v>62</v>
      </c>
      <c r="B31" s="42" t="s">
        <v>45</v>
      </c>
      <c r="C31" s="41" t="s">
        <v>35</v>
      </c>
      <c r="D31" s="43" t="s">
        <v>84</v>
      </c>
      <c r="E31" s="41" t="s">
        <v>71</v>
      </c>
      <c r="F31" s="41" t="s">
        <v>313</v>
      </c>
      <c r="G31" s="44"/>
      <c r="H31" s="44">
        <v>420</v>
      </c>
      <c r="I31" s="43" t="s">
        <v>132</v>
      </c>
      <c r="J31" s="130">
        <f>400*12</f>
        <v>4800</v>
      </c>
      <c r="K31" s="40">
        <f>H31</f>
        <v>420</v>
      </c>
      <c r="L31" s="40">
        <f t="shared" ref="L31:L39" si="26">K31</f>
        <v>420</v>
      </c>
      <c r="M31" s="40">
        <f t="shared" ref="M31:V31" si="27">L31</f>
        <v>420</v>
      </c>
      <c r="N31" s="40">
        <f t="shared" si="27"/>
        <v>420</v>
      </c>
      <c r="O31" s="40">
        <f t="shared" si="27"/>
        <v>420</v>
      </c>
      <c r="P31" s="40">
        <f t="shared" si="27"/>
        <v>420</v>
      </c>
      <c r="Q31" s="40">
        <f t="shared" si="27"/>
        <v>420</v>
      </c>
      <c r="R31" s="40">
        <f t="shared" si="27"/>
        <v>420</v>
      </c>
      <c r="S31" s="40">
        <f t="shared" si="27"/>
        <v>420</v>
      </c>
      <c r="T31" s="40">
        <f t="shared" si="27"/>
        <v>420</v>
      </c>
      <c r="U31" s="40">
        <f t="shared" si="27"/>
        <v>420</v>
      </c>
      <c r="V31" s="40">
        <f t="shared" si="27"/>
        <v>420</v>
      </c>
      <c r="W31" s="108">
        <f t="shared" si="2"/>
        <v>5040</v>
      </c>
      <c r="X31" s="18"/>
      <c r="Y31" s="116">
        <f>W31</f>
        <v>5040</v>
      </c>
      <c r="Z31" s="113"/>
      <c r="AA31" s="113"/>
      <c r="AB31" s="17"/>
    </row>
    <row r="32" spans="1:29" ht="26.25" customHeight="1" outlineLevel="1" collapsed="1" x14ac:dyDescent="0.25">
      <c r="A32" s="41" t="s">
        <v>62</v>
      </c>
      <c r="B32" s="42" t="s">
        <v>45</v>
      </c>
      <c r="C32" s="41" t="s">
        <v>35</v>
      </c>
      <c r="D32" s="51" t="s">
        <v>84</v>
      </c>
      <c r="E32" s="46" t="s">
        <v>71</v>
      </c>
      <c r="F32" s="46" t="s">
        <v>91</v>
      </c>
      <c r="G32" s="47"/>
      <c r="H32" s="47">
        <v>200</v>
      </c>
      <c r="I32" s="51" t="s">
        <v>133</v>
      </c>
      <c r="J32" s="51"/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100</v>
      </c>
      <c r="Q32" s="52">
        <f t="shared" ref="Q32" si="28">P32</f>
        <v>100</v>
      </c>
      <c r="R32" s="52">
        <v>100</v>
      </c>
      <c r="S32" s="52">
        <v>200</v>
      </c>
      <c r="T32" s="52">
        <f t="shared" ref="T32" si="29">S32</f>
        <v>200</v>
      </c>
      <c r="U32" s="52">
        <f t="shared" ref="U32" si="30">T32</f>
        <v>200</v>
      </c>
      <c r="V32" s="52">
        <f t="shared" ref="V32" si="31">U32</f>
        <v>200</v>
      </c>
      <c r="W32" s="108">
        <f t="shared" si="2"/>
        <v>1100</v>
      </c>
      <c r="X32" s="18"/>
      <c r="Y32" s="18"/>
      <c r="Z32" s="116">
        <f>W32</f>
        <v>1100</v>
      </c>
      <c r="AA32" s="116"/>
      <c r="AB32" s="17"/>
    </row>
    <row r="33" spans="1:29" ht="26.25" customHeight="1" x14ac:dyDescent="0.25">
      <c r="A33" s="53" t="s">
        <v>62</v>
      </c>
      <c r="B33" s="54" t="s">
        <v>45</v>
      </c>
      <c r="C33" s="53" t="s">
        <v>85</v>
      </c>
      <c r="D33" s="53" t="s">
        <v>86</v>
      </c>
      <c r="E33" s="53" t="s">
        <v>71</v>
      </c>
      <c r="F33" s="53" t="s">
        <v>91</v>
      </c>
      <c r="G33" s="55"/>
      <c r="H33" s="55">
        <v>4800</v>
      </c>
      <c r="I33" s="53" t="s">
        <v>87</v>
      </c>
      <c r="J33" s="129">
        <f>H33*12</f>
        <v>57600</v>
      </c>
      <c r="K33" s="56">
        <f>H33</f>
        <v>4800</v>
      </c>
      <c r="L33" s="56">
        <f t="shared" si="26"/>
        <v>4800</v>
      </c>
      <c r="M33" s="56">
        <f t="shared" ref="M33:V41" si="32">L33</f>
        <v>4800</v>
      </c>
      <c r="N33" s="56">
        <f t="shared" si="32"/>
        <v>4800</v>
      </c>
      <c r="O33" s="56">
        <f t="shared" si="32"/>
        <v>4800</v>
      </c>
      <c r="P33" s="56">
        <f t="shared" si="32"/>
        <v>4800</v>
      </c>
      <c r="Q33" s="56">
        <f t="shared" si="32"/>
        <v>4800</v>
      </c>
      <c r="R33" s="56">
        <f t="shared" si="32"/>
        <v>4800</v>
      </c>
      <c r="S33" s="56">
        <f t="shared" si="32"/>
        <v>4800</v>
      </c>
      <c r="T33" s="56">
        <f t="shared" si="32"/>
        <v>4800</v>
      </c>
      <c r="U33" s="56">
        <f t="shared" si="32"/>
        <v>4800</v>
      </c>
      <c r="V33" s="56">
        <f t="shared" si="32"/>
        <v>4800</v>
      </c>
      <c r="W33" s="57">
        <f t="shared" si="7"/>
        <v>57600</v>
      </c>
      <c r="X33" s="100">
        <f>W33/$W$53</f>
        <v>0.11047760791412944</v>
      </c>
      <c r="Y33" s="112">
        <f>W33</f>
        <v>57600</v>
      </c>
      <c r="Z33" s="112">
        <v>0</v>
      </c>
      <c r="AA33" s="112">
        <v>0</v>
      </c>
      <c r="AB33" s="58"/>
      <c r="AC33" s="141">
        <f t="shared" ref="AC33:AC34" si="33">J33-Y33</f>
        <v>0</v>
      </c>
    </row>
    <row r="34" spans="1:29" ht="26.25" customHeight="1" x14ac:dyDescent="0.25">
      <c r="A34" s="53" t="s">
        <v>62</v>
      </c>
      <c r="B34" s="54" t="s">
        <v>45</v>
      </c>
      <c r="C34" s="53" t="s">
        <v>135</v>
      </c>
      <c r="D34" s="53" t="s">
        <v>0</v>
      </c>
      <c r="E34" s="53" t="s">
        <v>71</v>
      </c>
      <c r="F34" s="53" t="s">
        <v>91</v>
      </c>
      <c r="G34" s="55"/>
      <c r="H34" s="55"/>
      <c r="I34" s="53" t="s">
        <v>136</v>
      </c>
      <c r="J34" s="129">
        <f>SUM(J35:J39)</f>
        <v>66876</v>
      </c>
      <c r="K34" s="56">
        <f>SUM(K35:K39)</f>
        <v>5573</v>
      </c>
      <c r="L34" s="56">
        <f t="shared" ref="L34:V34" si="34">SUM(L35:L39)</f>
        <v>5573</v>
      </c>
      <c r="M34" s="56">
        <f t="shared" si="34"/>
        <v>5573</v>
      </c>
      <c r="N34" s="56">
        <f t="shared" si="34"/>
        <v>7675</v>
      </c>
      <c r="O34" s="56">
        <f t="shared" si="34"/>
        <v>7675</v>
      </c>
      <c r="P34" s="56">
        <f t="shared" si="34"/>
        <v>7675</v>
      </c>
      <c r="Q34" s="56">
        <f>SUM(Q35:Q39)</f>
        <v>7675</v>
      </c>
      <c r="R34" s="56">
        <f t="shared" si="34"/>
        <v>7675</v>
      </c>
      <c r="S34" s="56">
        <f t="shared" si="34"/>
        <v>9077</v>
      </c>
      <c r="T34" s="56">
        <f t="shared" si="34"/>
        <v>9077</v>
      </c>
      <c r="U34" s="56">
        <f t="shared" si="34"/>
        <v>9077</v>
      </c>
      <c r="V34" s="56">
        <f t="shared" si="34"/>
        <v>9077</v>
      </c>
      <c r="W34" s="57">
        <f t="shared" ref="W34" si="35">SUM(K34:V34)</f>
        <v>91402</v>
      </c>
      <c r="X34" s="100">
        <f>W34/$W$53</f>
        <v>0.17531031803068159</v>
      </c>
      <c r="Y34" s="112">
        <f>SUM(Y35:Y39)</f>
        <v>66876</v>
      </c>
      <c r="Z34" s="112">
        <f>SUM(Z35:Z39)</f>
        <v>18226</v>
      </c>
      <c r="AA34" s="112">
        <f>SUM(AA35:AA39)</f>
        <v>6300</v>
      </c>
      <c r="AB34" s="58"/>
      <c r="AC34" s="141">
        <f t="shared" si="33"/>
        <v>0</v>
      </c>
    </row>
    <row r="35" spans="1:29" ht="20.45" customHeight="1" outlineLevel="1" x14ac:dyDescent="0.25">
      <c r="A35" s="41" t="s">
        <v>62</v>
      </c>
      <c r="B35" s="42" t="s">
        <v>45</v>
      </c>
      <c r="C35" s="41" t="s">
        <v>37</v>
      </c>
      <c r="D35" s="43" t="s">
        <v>0</v>
      </c>
      <c r="E35" s="41" t="s">
        <v>71</v>
      </c>
      <c r="F35" s="41" t="s">
        <v>91</v>
      </c>
      <c r="G35" s="44"/>
      <c r="H35" s="44">
        <v>2550</v>
      </c>
      <c r="I35" s="41"/>
      <c r="J35" s="130">
        <f>H35*12</f>
        <v>30600</v>
      </c>
      <c r="K35" s="40">
        <f>H35</f>
        <v>2550</v>
      </c>
      <c r="L35" s="40">
        <f t="shared" si="26"/>
        <v>2550</v>
      </c>
      <c r="M35" s="40">
        <f t="shared" si="32"/>
        <v>2550</v>
      </c>
      <c r="N35" s="40">
        <f t="shared" si="32"/>
        <v>2550</v>
      </c>
      <c r="O35" s="40">
        <f t="shared" si="32"/>
        <v>2550</v>
      </c>
      <c r="P35" s="40">
        <f t="shared" si="32"/>
        <v>2550</v>
      </c>
      <c r="Q35" s="40">
        <f t="shared" si="32"/>
        <v>2550</v>
      </c>
      <c r="R35" s="40">
        <f t="shared" si="32"/>
        <v>2550</v>
      </c>
      <c r="S35" s="40">
        <f t="shared" si="32"/>
        <v>2550</v>
      </c>
      <c r="T35" s="40">
        <f t="shared" si="32"/>
        <v>2550</v>
      </c>
      <c r="U35" s="40">
        <f t="shared" si="32"/>
        <v>2550</v>
      </c>
      <c r="V35" s="40">
        <f t="shared" si="32"/>
        <v>2550</v>
      </c>
      <c r="W35" s="108">
        <f t="shared" ref="W35:W39" si="36">SUM(K35:V35)</f>
        <v>30600</v>
      </c>
      <c r="X35" s="18"/>
      <c r="Y35" s="116">
        <f>W35</f>
        <v>30600</v>
      </c>
      <c r="Z35" s="113"/>
      <c r="AA35" s="113"/>
      <c r="AB35" s="17"/>
    </row>
    <row r="36" spans="1:29" ht="26.25" customHeight="1" outlineLevel="1" x14ac:dyDescent="0.25">
      <c r="A36" s="41" t="s">
        <v>62</v>
      </c>
      <c r="B36" s="42" t="s">
        <v>45</v>
      </c>
      <c r="C36" s="41" t="s">
        <v>38</v>
      </c>
      <c r="D36" s="43" t="s">
        <v>0</v>
      </c>
      <c r="E36" s="41" t="s">
        <v>71</v>
      </c>
      <c r="F36" s="41" t="s">
        <v>91</v>
      </c>
      <c r="G36" s="44"/>
      <c r="H36" s="44">
        <f>2079+944</f>
        <v>3023</v>
      </c>
      <c r="I36" s="41"/>
      <c r="J36" s="130">
        <f t="shared" ref="J36" si="37">H36*12</f>
        <v>36276</v>
      </c>
      <c r="K36" s="40">
        <f>H36</f>
        <v>3023</v>
      </c>
      <c r="L36" s="40">
        <f t="shared" ref="L36:L38" si="38">K36</f>
        <v>3023</v>
      </c>
      <c r="M36" s="40">
        <f t="shared" ref="M36:M38" si="39">L36</f>
        <v>3023</v>
      </c>
      <c r="N36" s="40">
        <f t="shared" ref="N36" si="40">M36</f>
        <v>3023</v>
      </c>
      <c r="O36" s="40">
        <f t="shared" ref="O36" si="41">N36</f>
        <v>3023</v>
      </c>
      <c r="P36" s="40">
        <f t="shared" ref="P36:P38" si="42">O36</f>
        <v>3023</v>
      </c>
      <c r="Q36" s="40">
        <f t="shared" ref="Q36:Q38" si="43">P36</f>
        <v>3023</v>
      </c>
      <c r="R36" s="40">
        <f t="shared" ref="R36" si="44">Q36</f>
        <v>3023</v>
      </c>
      <c r="S36" s="40">
        <f t="shared" ref="S36" si="45">R36</f>
        <v>3023</v>
      </c>
      <c r="T36" s="40">
        <f t="shared" ref="T36:T38" si="46">S36</f>
        <v>3023</v>
      </c>
      <c r="U36" s="40">
        <f t="shared" ref="U36:U38" si="47">T36</f>
        <v>3023</v>
      </c>
      <c r="V36" s="40">
        <f t="shared" ref="V36:V38" si="48">U36</f>
        <v>3023</v>
      </c>
      <c r="W36" s="108">
        <f t="shared" si="36"/>
        <v>36276</v>
      </c>
      <c r="X36" s="18"/>
      <c r="Y36" s="116">
        <f t="shared" ref="Y36" si="49">W36</f>
        <v>36276</v>
      </c>
      <c r="Z36" s="113"/>
      <c r="AA36" s="113"/>
      <c r="AB36" s="17"/>
    </row>
    <row r="37" spans="1:29" ht="26.25" customHeight="1" outlineLevel="1" x14ac:dyDescent="0.25">
      <c r="A37" s="41" t="s">
        <v>62</v>
      </c>
      <c r="B37" s="42" t="s">
        <v>45</v>
      </c>
      <c r="C37" s="41" t="s">
        <v>38</v>
      </c>
      <c r="D37" s="51" t="s">
        <v>0</v>
      </c>
      <c r="E37" s="46" t="s">
        <v>71</v>
      </c>
      <c r="F37" s="46" t="s">
        <v>91</v>
      </c>
      <c r="G37" s="47"/>
      <c r="H37" s="47">
        <v>700</v>
      </c>
      <c r="I37" s="46" t="s">
        <v>276</v>
      </c>
      <c r="J37" s="130">
        <v>0</v>
      </c>
      <c r="K37" s="52">
        <v>0</v>
      </c>
      <c r="L37" s="52">
        <v>0</v>
      </c>
      <c r="M37" s="52">
        <v>0</v>
      </c>
      <c r="N37" s="52">
        <v>700</v>
      </c>
      <c r="O37" s="52">
        <v>700</v>
      </c>
      <c r="P37" s="52">
        <v>700</v>
      </c>
      <c r="Q37" s="52">
        <v>700</v>
      </c>
      <c r="R37" s="52">
        <v>700</v>
      </c>
      <c r="S37" s="52">
        <v>700</v>
      </c>
      <c r="T37" s="52">
        <v>700</v>
      </c>
      <c r="U37" s="52">
        <v>700</v>
      </c>
      <c r="V37" s="52">
        <v>700</v>
      </c>
      <c r="W37" s="108">
        <f t="shared" si="36"/>
        <v>6300</v>
      </c>
      <c r="X37" s="18"/>
      <c r="Y37" s="18"/>
      <c r="Z37" s="116"/>
      <c r="AA37" s="116">
        <f>W37</f>
        <v>6300</v>
      </c>
      <c r="AB37" s="17"/>
    </row>
    <row r="38" spans="1:29" ht="26.25" customHeight="1" outlineLevel="1" x14ac:dyDescent="0.25">
      <c r="A38" s="41" t="s">
        <v>62</v>
      </c>
      <c r="B38" s="42" t="s">
        <v>45</v>
      </c>
      <c r="C38" s="41" t="s">
        <v>38</v>
      </c>
      <c r="D38" s="51" t="s">
        <v>0</v>
      </c>
      <c r="E38" s="46" t="s">
        <v>71</v>
      </c>
      <c r="F38" s="46" t="s">
        <v>91</v>
      </c>
      <c r="G38" s="47"/>
      <c r="H38" s="47">
        <v>1000</v>
      </c>
      <c r="I38" s="46" t="s">
        <v>277</v>
      </c>
      <c r="J38" s="130">
        <v>0</v>
      </c>
      <c r="K38" s="52">
        <v>0</v>
      </c>
      <c r="L38" s="52">
        <f t="shared" si="38"/>
        <v>0</v>
      </c>
      <c r="M38" s="52">
        <f t="shared" si="39"/>
        <v>0</v>
      </c>
      <c r="N38" s="52">
        <v>500</v>
      </c>
      <c r="O38" s="52">
        <v>500</v>
      </c>
      <c r="P38" s="52">
        <f t="shared" si="42"/>
        <v>500</v>
      </c>
      <c r="Q38" s="52">
        <f t="shared" si="43"/>
        <v>500</v>
      </c>
      <c r="R38" s="52">
        <v>500</v>
      </c>
      <c r="S38" s="52">
        <v>1000</v>
      </c>
      <c r="T38" s="52">
        <f t="shared" si="46"/>
        <v>1000</v>
      </c>
      <c r="U38" s="52">
        <f t="shared" si="47"/>
        <v>1000</v>
      </c>
      <c r="V38" s="52">
        <f t="shared" si="48"/>
        <v>1000</v>
      </c>
      <c r="W38" s="108">
        <f t="shared" si="36"/>
        <v>6500</v>
      </c>
      <c r="X38" s="18"/>
      <c r="Y38" s="18"/>
      <c r="Z38" s="116">
        <f>W38</f>
        <v>6500</v>
      </c>
      <c r="AA38" s="116"/>
      <c r="AB38" s="17"/>
    </row>
    <row r="39" spans="1:29" ht="26.25" customHeight="1" outlineLevel="1" x14ac:dyDescent="0.25">
      <c r="A39" s="41" t="s">
        <v>62</v>
      </c>
      <c r="B39" s="42" t="s">
        <v>45</v>
      </c>
      <c r="C39" s="41" t="s">
        <v>38</v>
      </c>
      <c r="D39" s="51" t="s">
        <v>0</v>
      </c>
      <c r="E39" s="46" t="s">
        <v>71</v>
      </c>
      <c r="F39" s="46" t="s">
        <v>91</v>
      </c>
      <c r="G39" s="47">
        <v>220</v>
      </c>
      <c r="H39" s="47"/>
      <c r="I39" s="46" t="s">
        <v>278</v>
      </c>
      <c r="J39" s="130">
        <v>0</v>
      </c>
      <c r="K39" s="52">
        <v>0</v>
      </c>
      <c r="L39" s="52">
        <f t="shared" si="26"/>
        <v>0</v>
      </c>
      <c r="M39" s="52">
        <f t="shared" si="32"/>
        <v>0</v>
      </c>
      <c r="N39" s="52">
        <f>G39*I8</f>
        <v>901.99999999999989</v>
      </c>
      <c r="O39" s="52">
        <f>N39</f>
        <v>901.99999999999989</v>
      </c>
      <c r="P39" s="52">
        <f t="shared" si="32"/>
        <v>901.99999999999989</v>
      </c>
      <c r="Q39" s="52">
        <f t="shared" si="32"/>
        <v>901.99999999999989</v>
      </c>
      <c r="R39" s="52">
        <f t="shared" si="32"/>
        <v>901.99999999999989</v>
      </c>
      <c r="S39" s="52">
        <f>G39*2*I8</f>
        <v>1803.9999999999998</v>
      </c>
      <c r="T39" s="52">
        <f t="shared" si="32"/>
        <v>1803.9999999999998</v>
      </c>
      <c r="U39" s="52">
        <f t="shared" si="32"/>
        <v>1803.9999999999998</v>
      </c>
      <c r="V39" s="52">
        <f t="shared" si="32"/>
        <v>1803.9999999999998</v>
      </c>
      <c r="W39" s="108">
        <f t="shared" si="36"/>
        <v>11725.999999999998</v>
      </c>
      <c r="X39" s="18"/>
      <c r="Y39" s="18"/>
      <c r="Z39" s="116">
        <f>W39</f>
        <v>11725.999999999998</v>
      </c>
      <c r="AA39" s="116"/>
      <c r="AB39" s="17"/>
    </row>
    <row r="40" spans="1:29" ht="26.1" customHeight="1" x14ac:dyDescent="0.25">
      <c r="A40" s="53" t="s">
        <v>62</v>
      </c>
      <c r="B40" s="54" t="s">
        <v>88</v>
      </c>
      <c r="C40" s="53" t="s">
        <v>33</v>
      </c>
      <c r="D40" s="53" t="s">
        <v>90</v>
      </c>
      <c r="E40" s="53" t="s">
        <v>66</v>
      </c>
      <c r="F40" s="53" t="s">
        <v>91</v>
      </c>
      <c r="G40" s="55">
        <v>6700</v>
      </c>
      <c r="H40" s="55"/>
      <c r="I40" s="53" t="s">
        <v>279</v>
      </c>
      <c r="J40" s="129">
        <f>G40*I8</f>
        <v>27469.999999999996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f>3350*I8</f>
        <v>13734.999999999998</v>
      </c>
      <c r="R40" s="56">
        <f t="shared" si="32"/>
        <v>13734.999999999998</v>
      </c>
      <c r="S40" s="56">
        <v>0</v>
      </c>
      <c r="T40" s="56">
        <v>0</v>
      </c>
      <c r="U40" s="56">
        <v>0</v>
      </c>
      <c r="V40" s="56">
        <v>0</v>
      </c>
      <c r="W40" s="57">
        <f t="shared" ref="W40:W41" si="50">SUM(K40:V40)</f>
        <v>27469.999999999996</v>
      </c>
      <c r="X40" s="100">
        <f>W40/$W$53</f>
        <v>5.2687845302103041E-2</v>
      </c>
      <c r="Y40" s="112">
        <f>W40</f>
        <v>27469.999999999996</v>
      </c>
      <c r="Z40" s="112">
        <v>0</v>
      </c>
      <c r="AA40" s="112">
        <v>0</v>
      </c>
      <c r="AB40" s="58"/>
      <c r="AC40" s="141">
        <f t="shared" ref="AC40:AC42" si="51">J40-Y40</f>
        <v>0</v>
      </c>
    </row>
    <row r="41" spans="1:29" ht="26.1" customHeight="1" x14ac:dyDescent="0.25">
      <c r="A41" s="53" t="s">
        <v>62</v>
      </c>
      <c r="B41" s="54" t="s">
        <v>45</v>
      </c>
      <c r="C41" s="53" t="s">
        <v>85</v>
      </c>
      <c r="D41" s="53" t="s">
        <v>137</v>
      </c>
      <c r="E41" s="53" t="s">
        <v>71</v>
      </c>
      <c r="F41" s="53" t="s">
        <v>91</v>
      </c>
      <c r="G41" s="55"/>
      <c r="H41" s="55">
        <v>2200</v>
      </c>
      <c r="I41" s="53" t="s">
        <v>87</v>
      </c>
      <c r="J41" s="129">
        <v>0</v>
      </c>
      <c r="K41" s="56">
        <f>G41</f>
        <v>0</v>
      </c>
      <c r="L41" s="56">
        <f>H41</f>
        <v>2200</v>
      </c>
      <c r="M41" s="56">
        <f>L41</f>
        <v>2200</v>
      </c>
      <c r="N41" s="56">
        <f t="shared" ref="N41:Q41" si="52">M41</f>
        <v>2200</v>
      </c>
      <c r="O41" s="56">
        <f t="shared" si="52"/>
        <v>2200</v>
      </c>
      <c r="P41" s="56">
        <f t="shared" si="52"/>
        <v>2200</v>
      </c>
      <c r="Q41" s="56">
        <f t="shared" si="52"/>
        <v>2200</v>
      </c>
      <c r="R41" s="56">
        <f t="shared" si="32"/>
        <v>2200</v>
      </c>
      <c r="S41" s="56">
        <f t="shared" ref="S41:V41" si="53">R41</f>
        <v>2200</v>
      </c>
      <c r="T41" s="56">
        <f t="shared" si="53"/>
        <v>2200</v>
      </c>
      <c r="U41" s="56">
        <f t="shared" si="53"/>
        <v>2200</v>
      </c>
      <c r="V41" s="56">
        <f t="shared" si="53"/>
        <v>2200</v>
      </c>
      <c r="W41" s="57">
        <f t="shared" si="50"/>
        <v>24200</v>
      </c>
      <c r="X41" s="100">
        <f>W41/$W$53</f>
        <v>4.6415939436144658E-2</v>
      </c>
      <c r="Y41" s="112">
        <v>0</v>
      </c>
      <c r="Z41" s="112">
        <f>W41</f>
        <v>24200</v>
      </c>
      <c r="AA41" s="112">
        <v>0</v>
      </c>
      <c r="AB41" s="58"/>
      <c r="AC41" s="141">
        <f t="shared" si="51"/>
        <v>0</v>
      </c>
    </row>
    <row r="42" spans="1:29" ht="99" customHeight="1" x14ac:dyDescent="0.25">
      <c r="A42" s="53" t="s">
        <v>62</v>
      </c>
      <c r="B42" s="54" t="s">
        <v>45</v>
      </c>
      <c r="C42" s="53" t="s">
        <v>154</v>
      </c>
      <c r="D42" s="53" t="s">
        <v>156</v>
      </c>
      <c r="E42" s="53" t="s">
        <v>71</v>
      </c>
      <c r="F42" s="53" t="s">
        <v>91</v>
      </c>
      <c r="G42" s="55"/>
      <c r="H42" s="55"/>
      <c r="I42" s="106" t="s">
        <v>281</v>
      </c>
      <c r="J42" s="129">
        <f t="shared" ref="J42:V42" si="54">SUM(J43:J50)</f>
        <v>123696.71299999999</v>
      </c>
      <c r="K42" s="56">
        <f t="shared" si="54"/>
        <v>6927.195999999999</v>
      </c>
      <c r="L42" s="56">
        <f t="shared" si="54"/>
        <v>6927.195999999999</v>
      </c>
      <c r="M42" s="56">
        <f t="shared" si="54"/>
        <v>6927.195999999999</v>
      </c>
      <c r="N42" s="56">
        <f t="shared" si="54"/>
        <v>8485.1959999999981</v>
      </c>
      <c r="O42" s="56">
        <f t="shared" si="54"/>
        <v>8485.1959999999981</v>
      </c>
      <c r="P42" s="56">
        <f t="shared" si="54"/>
        <v>8485.1959999999981</v>
      </c>
      <c r="Q42" s="56">
        <f t="shared" si="54"/>
        <v>8485.1959999999981</v>
      </c>
      <c r="R42" s="56">
        <f t="shared" si="54"/>
        <v>9264.1959999999981</v>
      </c>
      <c r="S42" s="56">
        <f t="shared" si="54"/>
        <v>8558.7089999999989</v>
      </c>
      <c r="T42" s="56">
        <f t="shared" si="54"/>
        <v>8877.6479999999992</v>
      </c>
      <c r="U42" s="56">
        <f t="shared" si="54"/>
        <v>8877.6479999999992</v>
      </c>
      <c r="V42" s="56">
        <f t="shared" si="54"/>
        <v>8877.6479999999992</v>
      </c>
      <c r="W42" s="57">
        <f>SUM(K42:V42)</f>
        <v>99178.220999999976</v>
      </c>
      <c r="X42" s="100">
        <f>W42/$W$53</f>
        <v>0.19022521898018882</v>
      </c>
      <c r="Y42" s="112">
        <f>SUM(Y43:Y50)</f>
        <v>78924.221000000005</v>
      </c>
      <c r="Z42" s="112">
        <f>SUM(Z43:Z50)</f>
        <v>20253.999999999996</v>
      </c>
      <c r="AA42" s="112">
        <f>SUM(AA43:AA50)</f>
        <v>0</v>
      </c>
      <c r="AB42" s="58"/>
      <c r="AC42" s="141">
        <f t="shared" si="51"/>
        <v>44772.491999999984</v>
      </c>
    </row>
    <row r="43" spans="1:29" ht="30" customHeight="1" outlineLevel="1" x14ac:dyDescent="0.25">
      <c r="A43" s="43" t="s">
        <v>62</v>
      </c>
      <c r="B43" s="61" t="s">
        <v>45</v>
      </c>
      <c r="C43" s="43" t="s">
        <v>152</v>
      </c>
      <c r="D43" s="43" t="s">
        <v>244</v>
      </c>
      <c r="E43" s="43" t="s">
        <v>71</v>
      </c>
      <c r="F43" s="43" t="s">
        <v>91</v>
      </c>
      <c r="G43" s="62">
        <v>362.21</v>
      </c>
      <c r="H43" s="62"/>
      <c r="I43" s="43" t="s">
        <v>246</v>
      </c>
      <c r="J43" s="130">
        <f>G43*I8*12</f>
        <v>17820.731999999996</v>
      </c>
      <c r="K43" s="63">
        <f>G43*$I$8</f>
        <v>1485.0609999999997</v>
      </c>
      <c r="L43" s="63">
        <f t="shared" ref="L43:L49" si="55">K43</f>
        <v>1485.0609999999997</v>
      </c>
      <c r="M43" s="63">
        <f t="shared" ref="M43:S43" si="56">L43</f>
        <v>1485.0609999999997</v>
      </c>
      <c r="N43" s="63">
        <f t="shared" si="56"/>
        <v>1485.0609999999997</v>
      </c>
      <c r="O43" s="63">
        <f t="shared" si="56"/>
        <v>1485.0609999999997</v>
      </c>
      <c r="P43" s="63">
        <f t="shared" si="56"/>
        <v>1485.0609999999997</v>
      </c>
      <c r="Q43" s="63">
        <f t="shared" si="56"/>
        <v>1485.0609999999997</v>
      </c>
      <c r="R43" s="63">
        <f t="shared" si="56"/>
        <v>1485.0609999999997</v>
      </c>
      <c r="S43" s="63">
        <f t="shared" si="56"/>
        <v>1485.0609999999997</v>
      </c>
      <c r="T43" s="63">
        <v>0</v>
      </c>
      <c r="U43" s="63">
        <v>0</v>
      </c>
      <c r="V43" s="63">
        <v>0</v>
      </c>
      <c r="W43" s="108">
        <f t="shared" ref="W43:W50" si="57">SUM(K43:V43)</f>
        <v>13365.548999999997</v>
      </c>
      <c r="X43" s="102"/>
      <c r="Y43" s="115">
        <f>W43</f>
        <v>13365.548999999997</v>
      </c>
      <c r="Z43" s="115"/>
      <c r="AA43" s="115"/>
      <c r="AB43" s="79"/>
      <c r="AC43" s="142"/>
    </row>
    <row r="44" spans="1:29" ht="30" customHeight="1" outlineLevel="1" x14ac:dyDescent="0.25">
      <c r="A44" s="43" t="s">
        <v>62</v>
      </c>
      <c r="B44" s="61" t="s">
        <v>45</v>
      </c>
      <c r="C44" s="43" t="s">
        <v>152</v>
      </c>
      <c r="D44" s="43" t="s">
        <v>243</v>
      </c>
      <c r="E44" s="43" t="s">
        <v>71</v>
      </c>
      <c r="F44" s="43" t="s">
        <v>91</v>
      </c>
      <c r="G44" s="62">
        <v>262.07</v>
      </c>
      <c r="H44" s="62"/>
      <c r="I44" s="43" t="s">
        <v>245</v>
      </c>
      <c r="J44" s="130">
        <f>G44*I8*12</f>
        <v>12893.843999999997</v>
      </c>
      <c r="K44" s="63">
        <f>G44*$I$8</f>
        <v>1074.4869999999999</v>
      </c>
      <c r="L44" s="63">
        <f t="shared" si="55"/>
        <v>1074.4869999999999</v>
      </c>
      <c r="M44" s="63">
        <f t="shared" ref="M44:R44" si="58">L44</f>
        <v>1074.4869999999999</v>
      </c>
      <c r="N44" s="63">
        <f t="shared" si="58"/>
        <v>1074.4869999999999</v>
      </c>
      <c r="O44" s="63">
        <f t="shared" si="58"/>
        <v>1074.4869999999999</v>
      </c>
      <c r="P44" s="63">
        <f t="shared" si="58"/>
        <v>1074.4869999999999</v>
      </c>
      <c r="Q44" s="63">
        <f t="shared" si="58"/>
        <v>1074.4869999999999</v>
      </c>
      <c r="R44" s="63">
        <f t="shared" si="58"/>
        <v>1074.4869999999999</v>
      </c>
      <c r="S44" s="63">
        <v>0</v>
      </c>
      <c r="T44" s="63">
        <v>0</v>
      </c>
      <c r="U44" s="63">
        <v>0</v>
      </c>
      <c r="V44" s="63">
        <v>0</v>
      </c>
      <c r="W44" s="108">
        <f t="shared" si="57"/>
        <v>8595.8959999999988</v>
      </c>
      <c r="X44" s="102"/>
      <c r="Y44" s="115">
        <f t="shared" ref="Y44:Y47" si="59">W44</f>
        <v>8595.8959999999988</v>
      </c>
      <c r="Z44" s="115"/>
      <c r="AA44" s="115"/>
      <c r="AB44" s="79"/>
    </row>
    <row r="45" spans="1:29" ht="30" customHeight="1" outlineLevel="1" x14ac:dyDescent="0.25">
      <c r="A45" s="43" t="s">
        <v>62</v>
      </c>
      <c r="B45" s="61" t="s">
        <v>45</v>
      </c>
      <c r="C45" s="43" t="s">
        <v>152</v>
      </c>
      <c r="D45" s="43" t="s">
        <v>238</v>
      </c>
      <c r="E45" s="43" t="s">
        <v>71</v>
      </c>
      <c r="F45" s="43" t="s">
        <v>91</v>
      </c>
      <c r="G45" s="62">
        <v>1065.28</v>
      </c>
      <c r="H45" s="62"/>
      <c r="I45" s="43" t="s">
        <v>153</v>
      </c>
      <c r="J45" s="130">
        <f>726.97*I8*9+G45*I8*3+940*I8</f>
        <v>43782.136999999995</v>
      </c>
      <c r="K45" s="63">
        <f>G45*$I$8</f>
        <v>4367.6479999999992</v>
      </c>
      <c r="L45" s="63">
        <f t="shared" si="55"/>
        <v>4367.6479999999992</v>
      </c>
      <c r="M45" s="63">
        <f t="shared" ref="M45:V51" si="60">L45</f>
        <v>4367.6479999999992</v>
      </c>
      <c r="N45" s="63">
        <f t="shared" si="60"/>
        <v>4367.6479999999992</v>
      </c>
      <c r="O45" s="63">
        <f t="shared" si="60"/>
        <v>4367.6479999999992</v>
      </c>
      <c r="P45" s="63">
        <f t="shared" si="60"/>
        <v>4367.6479999999992</v>
      </c>
      <c r="Q45" s="63">
        <f t="shared" si="60"/>
        <v>4367.6479999999992</v>
      </c>
      <c r="R45" s="63">
        <f t="shared" si="60"/>
        <v>4367.6479999999992</v>
      </c>
      <c r="S45" s="63">
        <f t="shared" si="60"/>
        <v>4367.6479999999992</v>
      </c>
      <c r="T45" s="63">
        <f t="shared" si="60"/>
        <v>4367.6479999999992</v>
      </c>
      <c r="U45" s="63">
        <f t="shared" si="60"/>
        <v>4367.6479999999992</v>
      </c>
      <c r="V45" s="63">
        <f t="shared" si="60"/>
        <v>4367.6479999999992</v>
      </c>
      <c r="W45" s="108">
        <f t="shared" si="57"/>
        <v>52411.776000000005</v>
      </c>
      <c r="X45" s="102"/>
      <c r="Y45" s="115">
        <f t="shared" si="59"/>
        <v>52411.776000000005</v>
      </c>
      <c r="Z45" s="115"/>
      <c r="AA45" s="115"/>
      <c r="AB45" s="79"/>
    </row>
    <row r="46" spans="1:29" ht="30" customHeight="1" outlineLevel="1" x14ac:dyDescent="0.25">
      <c r="A46" s="43" t="s">
        <v>62</v>
      </c>
      <c r="B46" s="61" t="s">
        <v>45</v>
      </c>
      <c r="C46" s="43" t="s">
        <v>152</v>
      </c>
      <c r="D46" s="117" t="s">
        <v>247</v>
      </c>
      <c r="E46" s="117" t="s">
        <v>71</v>
      </c>
      <c r="F46" s="117" t="s">
        <v>91</v>
      </c>
      <c r="G46" s="118">
        <v>250</v>
      </c>
      <c r="H46" s="118"/>
      <c r="I46" s="117" t="s">
        <v>248</v>
      </c>
      <c r="J46" s="130">
        <f>12000*I8</f>
        <v>49199.999999999993</v>
      </c>
      <c r="K46" s="119">
        <v>0</v>
      </c>
      <c r="L46" s="119">
        <f t="shared" si="55"/>
        <v>0</v>
      </c>
      <c r="M46" s="119">
        <f t="shared" si="60"/>
        <v>0</v>
      </c>
      <c r="N46" s="119">
        <f t="shared" si="60"/>
        <v>0</v>
      </c>
      <c r="O46" s="119">
        <f t="shared" si="60"/>
        <v>0</v>
      </c>
      <c r="P46" s="119">
        <f t="shared" si="60"/>
        <v>0</v>
      </c>
      <c r="Q46" s="119">
        <f t="shared" si="60"/>
        <v>0</v>
      </c>
      <c r="R46" s="119">
        <f t="shared" si="60"/>
        <v>0</v>
      </c>
      <c r="S46" s="119">
        <v>0</v>
      </c>
      <c r="T46" s="119">
        <f>G46*$I$8</f>
        <v>1025</v>
      </c>
      <c r="U46" s="119">
        <f>T46</f>
        <v>1025</v>
      </c>
      <c r="V46" s="119">
        <f t="shared" si="60"/>
        <v>1025</v>
      </c>
      <c r="W46" s="120">
        <f t="shared" si="57"/>
        <v>3075</v>
      </c>
      <c r="X46" s="102"/>
      <c r="Y46" s="115">
        <f t="shared" si="59"/>
        <v>3075</v>
      </c>
      <c r="Z46" s="116"/>
      <c r="AA46" s="116"/>
      <c r="AB46" s="79"/>
    </row>
    <row r="47" spans="1:29" ht="30" customHeight="1" outlineLevel="1" x14ac:dyDescent="0.25">
      <c r="A47" s="43" t="s">
        <v>62</v>
      </c>
      <c r="B47" s="61" t="s">
        <v>45</v>
      </c>
      <c r="C47" s="43" t="s">
        <v>152</v>
      </c>
      <c r="D47" s="117" t="s">
        <v>249</v>
      </c>
      <c r="E47" s="117" t="s">
        <v>71</v>
      </c>
      <c r="F47" s="117" t="s">
        <v>91</v>
      </c>
      <c r="G47" s="118">
        <v>90</v>
      </c>
      <c r="H47" s="118"/>
      <c r="I47" s="117" t="s">
        <v>250</v>
      </c>
      <c r="J47" s="130">
        <v>0</v>
      </c>
      <c r="K47" s="119">
        <v>0</v>
      </c>
      <c r="L47" s="119">
        <f t="shared" si="55"/>
        <v>0</v>
      </c>
      <c r="M47" s="119">
        <f t="shared" ref="M47" si="61">L47</f>
        <v>0</v>
      </c>
      <c r="N47" s="119">
        <f t="shared" ref="N47" si="62">M47</f>
        <v>0</v>
      </c>
      <c r="O47" s="119">
        <f t="shared" ref="O47" si="63">N47</f>
        <v>0</v>
      </c>
      <c r="P47" s="119">
        <f t="shared" ref="P47" si="64">O47</f>
        <v>0</v>
      </c>
      <c r="Q47" s="119">
        <f t="shared" ref="Q47" si="65">P47</f>
        <v>0</v>
      </c>
      <c r="R47" s="119">
        <f t="shared" ref="R47" si="66">Q47</f>
        <v>0</v>
      </c>
      <c r="S47" s="119">
        <f>G47*I8</f>
        <v>368.99999999999994</v>
      </c>
      <c r="T47" s="119">
        <f>S47</f>
        <v>368.99999999999994</v>
      </c>
      <c r="U47" s="119">
        <f t="shared" ref="U47" si="67">T47</f>
        <v>368.99999999999994</v>
      </c>
      <c r="V47" s="119">
        <f t="shared" si="60"/>
        <v>368.99999999999994</v>
      </c>
      <c r="W47" s="120">
        <f t="shared" si="57"/>
        <v>1475.9999999999998</v>
      </c>
      <c r="X47" s="102"/>
      <c r="Y47" s="115">
        <f t="shared" si="59"/>
        <v>1475.9999999999998</v>
      </c>
      <c r="Z47" s="115"/>
      <c r="AA47" s="115"/>
      <c r="AB47" s="79"/>
    </row>
    <row r="48" spans="1:29" ht="30" customHeight="1" outlineLevel="1" x14ac:dyDescent="0.25">
      <c r="A48" s="43" t="s">
        <v>62</v>
      </c>
      <c r="B48" s="61" t="s">
        <v>45</v>
      </c>
      <c r="C48" s="43" t="s">
        <v>152</v>
      </c>
      <c r="D48" s="51" t="s">
        <v>239</v>
      </c>
      <c r="E48" s="51" t="s">
        <v>71</v>
      </c>
      <c r="F48" s="51" t="s">
        <v>91</v>
      </c>
      <c r="G48" s="95">
        <v>380</v>
      </c>
      <c r="H48" s="62"/>
      <c r="I48" s="51" t="s">
        <v>241</v>
      </c>
      <c r="J48" s="130">
        <v>0</v>
      </c>
      <c r="K48" s="96">
        <v>0</v>
      </c>
      <c r="L48" s="96">
        <f t="shared" si="55"/>
        <v>0</v>
      </c>
      <c r="M48" s="96">
        <f t="shared" si="60"/>
        <v>0</v>
      </c>
      <c r="N48" s="96">
        <f>G48*$I$8</f>
        <v>1557.9999999999998</v>
      </c>
      <c r="O48" s="96">
        <f t="shared" si="60"/>
        <v>1557.9999999999998</v>
      </c>
      <c r="P48" s="96">
        <f t="shared" si="60"/>
        <v>1557.9999999999998</v>
      </c>
      <c r="Q48" s="96">
        <f t="shared" si="60"/>
        <v>1557.9999999999998</v>
      </c>
      <c r="R48" s="96">
        <f t="shared" si="60"/>
        <v>1557.9999999999998</v>
      </c>
      <c r="S48" s="96">
        <f>G48*$I$8</f>
        <v>1557.9999999999998</v>
      </c>
      <c r="T48" s="96">
        <f t="shared" si="60"/>
        <v>1557.9999999999998</v>
      </c>
      <c r="U48" s="96">
        <f t="shared" si="60"/>
        <v>1557.9999999999998</v>
      </c>
      <c r="V48" s="96">
        <f t="shared" si="60"/>
        <v>1557.9999999999998</v>
      </c>
      <c r="W48" s="108">
        <f t="shared" si="57"/>
        <v>14021.999999999998</v>
      </c>
      <c r="X48" s="102"/>
      <c r="Y48" s="102"/>
      <c r="Z48" s="115">
        <f>W48</f>
        <v>14021.999999999998</v>
      </c>
      <c r="AA48" s="115"/>
      <c r="AB48" s="79" t="s">
        <v>285</v>
      </c>
    </row>
    <row r="49" spans="1:28" ht="30" customHeight="1" outlineLevel="1" x14ac:dyDescent="0.25">
      <c r="A49" s="43" t="s">
        <v>62</v>
      </c>
      <c r="B49" s="61" t="s">
        <v>45</v>
      </c>
      <c r="C49" s="43" t="s">
        <v>152</v>
      </c>
      <c r="D49" s="51" t="s">
        <v>239</v>
      </c>
      <c r="E49" s="51" t="s">
        <v>71</v>
      </c>
      <c r="F49" s="51" t="s">
        <v>91</v>
      </c>
      <c r="G49" s="95">
        <v>190</v>
      </c>
      <c r="H49" s="62"/>
      <c r="I49" s="51" t="s">
        <v>240</v>
      </c>
      <c r="J49" s="130">
        <v>0</v>
      </c>
      <c r="K49" s="96">
        <v>0</v>
      </c>
      <c r="L49" s="96">
        <f t="shared" si="55"/>
        <v>0</v>
      </c>
      <c r="M49" s="96">
        <f t="shared" ref="M49" si="68">L49</f>
        <v>0</v>
      </c>
      <c r="N49" s="96">
        <v>0</v>
      </c>
      <c r="O49" s="96">
        <f t="shared" ref="O49" si="69">N49</f>
        <v>0</v>
      </c>
      <c r="P49" s="96">
        <f t="shared" ref="P49" si="70">O49</f>
        <v>0</v>
      </c>
      <c r="Q49" s="96">
        <f t="shared" ref="Q49" si="71">P49</f>
        <v>0</v>
      </c>
      <c r="R49" s="96">
        <f t="shared" ref="R49" si="72">Q49</f>
        <v>0</v>
      </c>
      <c r="S49" s="96">
        <v>0</v>
      </c>
      <c r="T49" s="96">
        <f>G49*I8</f>
        <v>778.99999999999989</v>
      </c>
      <c r="U49" s="96">
        <f t="shared" ref="U49:U50" si="73">T49</f>
        <v>778.99999999999989</v>
      </c>
      <c r="V49" s="96">
        <f t="shared" ref="V49:V50" si="74">U49</f>
        <v>778.99999999999989</v>
      </c>
      <c r="W49" s="108">
        <f t="shared" si="57"/>
        <v>2336.9999999999995</v>
      </c>
      <c r="X49" s="102"/>
      <c r="Y49" s="102"/>
      <c r="Z49" s="115">
        <f t="shared" ref="Z49:Z50" si="75">W49</f>
        <v>2336.9999999999995</v>
      </c>
      <c r="AA49" s="115"/>
      <c r="AB49" s="79" t="s">
        <v>285</v>
      </c>
    </row>
    <row r="50" spans="1:28" ht="30" customHeight="1" outlineLevel="1" x14ac:dyDescent="0.25">
      <c r="A50" s="43" t="s">
        <v>62</v>
      </c>
      <c r="B50" s="61" t="s">
        <v>45</v>
      </c>
      <c r="C50" s="43" t="s">
        <v>152</v>
      </c>
      <c r="D50" s="51" t="s">
        <v>239</v>
      </c>
      <c r="E50" s="51" t="s">
        <v>71</v>
      </c>
      <c r="F50" s="51" t="s">
        <v>91</v>
      </c>
      <c r="G50" s="95">
        <v>190</v>
      </c>
      <c r="H50" s="62"/>
      <c r="I50" s="51" t="s">
        <v>242</v>
      </c>
      <c r="J50" s="130">
        <v>0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f>G50*I8</f>
        <v>778.99999999999989</v>
      </c>
      <c r="S50" s="96">
        <f>R50</f>
        <v>778.99999999999989</v>
      </c>
      <c r="T50" s="96">
        <f t="shared" ref="T50" si="76">S50</f>
        <v>778.99999999999989</v>
      </c>
      <c r="U50" s="96">
        <f t="shared" si="73"/>
        <v>778.99999999999989</v>
      </c>
      <c r="V50" s="96">
        <f t="shared" si="74"/>
        <v>778.99999999999989</v>
      </c>
      <c r="W50" s="108">
        <f t="shared" si="57"/>
        <v>3894.9999999999995</v>
      </c>
      <c r="X50" s="102"/>
      <c r="Y50" s="102"/>
      <c r="Z50" s="115">
        <f t="shared" si="75"/>
        <v>3894.9999999999995</v>
      </c>
      <c r="AA50" s="115"/>
      <c r="AB50" s="79" t="s">
        <v>285</v>
      </c>
    </row>
    <row r="51" spans="1:28" ht="42.6" customHeight="1" x14ac:dyDescent="0.25">
      <c r="A51" s="53" t="s">
        <v>62</v>
      </c>
      <c r="B51" s="54" t="s">
        <v>45</v>
      </c>
      <c r="C51" s="53" t="s">
        <v>200</v>
      </c>
      <c r="D51" s="53" t="s">
        <v>201</v>
      </c>
      <c r="E51" s="53" t="s">
        <v>71</v>
      </c>
      <c r="F51" s="53" t="s">
        <v>91</v>
      </c>
      <c r="G51" s="55">
        <v>100</v>
      </c>
      <c r="H51" s="55"/>
      <c r="I51" s="53"/>
      <c r="J51" s="129">
        <f>99*9*I8</f>
        <v>3653.1</v>
      </c>
      <c r="K51" s="56">
        <v>0</v>
      </c>
      <c r="L51" s="56">
        <v>0</v>
      </c>
      <c r="M51" s="56">
        <v>0</v>
      </c>
      <c r="N51" s="56">
        <f>G51*$I$8</f>
        <v>409.99999999999994</v>
      </c>
      <c r="O51" s="56">
        <f>N51</f>
        <v>409.99999999999994</v>
      </c>
      <c r="P51" s="56">
        <f t="shared" ref="P51:U52" si="77">O51</f>
        <v>409.99999999999994</v>
      </c>
      <c r="Q51" s="56">
        <f t="shared" si="77"/>
        <v>409.99999999999994</v>
      </c>
      <c r="R51" s="56">
        <f t="shared" si="77"/>
        <v>409.99999999999994</v>
      </c>
      <c r="S51" s="56">
        <f t="shared" si="77"/>
        <v>409.99999999999994</v>
      </c>
      <c r="T51" s="56">
        <f t="shared" si="77"/>
        <v>409.99999999999994</v>
      </c>
      <c r="U51" s="56">
        <f t="shared" si="77"/>
        <v>409.99999999999994</v>
      </c>
      <c r="V51" s="56">
        <f t="shared" si="60"/>
        <v>409.99999999999994</v>
      </c>
      <c r="W51" s="57">
        <f>SUM(K51:V51)</f>
        <v>3689.9999999999995</v>
      </c>
      <c r="X51" s="100">
        <f>W51/$W$53</f>
        <v>7.0774717569989159E-3</v>
      </c>
      <c r="Y51" s="112">
        <v>0</v>
      </c>
      <c r="Z51" s="112">
        <f>W51</f>
        <v>3689.9999999999995</v>
      </c>
      <c r="AA51" s="112">
        <v>0</v>
      </c>
      <c r="AB51" s="58"/>
    </row>
    <row r="52" spans="1:28" ht="42.6" customHeight="1" collapsed="1" x14ac:dyDescent="0.25">
      <c r="A52" s="53" t="s">
        <v>62</v>
      </c>
      <c r="B52" s="54" t="s">
        <v>45</v>
      </c>
      <c r="C52" s="53" t="s">
        <v>206</v>
      </c>
      <c r="D52" s="53" t="s">
        <v>334</v>
      </c>
      <c r="E52" s="53" t="s">
        <v>71</v>
      </c>
      <c r="F52" s="53" t="s">
        <v>91</v>
      </c>
      <c r="G52" s="55"/>
      <c r="H52" s="55">
        <v>2800</v>
      </c>
      <c r="I52" s="53"/>
      <c r="J52" s="129">
        <v>0</v>
      </c>
      <c r="K52" s="56">
        <v>0</v>
      </c>
      <c r="L52" s="56">
        <v>0</v>
      </c>
      <c r="M52" s="56">
        <f>H52</f>
        <v>2800</v>
      </c>
      <c r="N52" s="56">
        <f>M52</f>
        <v>2800</v>
      </c>
      <c r="O52" s="56">
        <f>N52</f>
        <v>2800</v>
      </c>
      <c r="P52" s="56">
        <v>0</v>
      </c>
      <c r="Q52" s="56">
        <f t="shared" si="77"/>
        <v>0</v>
      </c>
      <c r="R52" s="56">
        <f t="shared" si="77"/>
        <v>0</v>
      </c>
      <c r="S52" s="56">
        <f t="shared" si="77"/>
        <v>0</v>
      </c>
      <c r="T52" s="56">
        <f>O52</f>
        <v>2800</v>
      </c>
      <c r="U52" s="56">
        <f t="shared" si="77"/>
        <v>2800</v>
      </c>
      <c r="V52" s="56">
        <v>0</v>
      </c>
      <c r="W52" s="57">
        <f>SUM(K52:V52)</f>
        <v>14000</v>
      </c>
      <c r="X52" s="100">
        <f>W52/$W$53</f>
        <v>2.6852196368017573E-2</v>
      </c>
      <c r="Y52" s="112">
        <v>0</v>
      </c>
      <c r="Z52" s="112">
        <f>W52</f>
        <v>14000</v>
      </c>
      <c r="AA52" s="112">
        <v>0</v>
      </c>
      <c r="AB52" s="58"/>
    </row>
    <row r="53" spans="1:28" ht="21" thickBot="1" x14ac:dyDescent="0.3">
      <c r="C53" s="20"/>
      <c r="D53" s="20"/>
      <c r="E53" s="20"/>
      <c r="F53" s="20"/>
      <c r="G53" s="20"/>
      <c r="H53" s="20"/>
      <c r="I53" s="21"/>
      <c r="J53" s="132">
        <f>J10+J11+J20+J23+J26+J30+J33+J34+J40+J41+J42+J51+J52</f>
        <v>458788.51299999992</v>
      </c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3"/>
      <c r="W53" s="123">
        <f>W10+W11+W20+W23+W26+W30+W33+W34+W40+W41+W42+W51+W52</f>
        <v>521372.62099999993</v>
      </c>
      <c r="X53" s="103">
        <f>SUM(X10:X52)</f>
        <v>1</v>
      </c>
      <c r="Y53" s="121">
        <f>Y10+Y11+Y20+Y23+Y26+Y30+Y33+Y34+Y40+Y41+Y42+Y51+Y52</f>
        <v>410602.92099999997</v>
      </c>
      <c r="Z53" s="121">
        <f>Z10+Z11+Z20+Z23+Z26+Z30+Z33+Z34+Z40+Z41+Z42+Z51+Z52</f>
        <v>104469.7</v>
      </c>
      <c r="AA53" s="121">
        <f>AA10+AA11+AA20+AA23+AA26+AA30+AA33+AA34+AA40+AA41+AA42+AA51+AA52</f>
        <v>6300</v>
      </c>
      <c r="AB53" s="20">
        <f>SUM(Y53:AA53)-W53</f>
        <v>0</v>
      </c>
    </row>
    <row r="54" spans="1:28" ht="21" thickTop="1" x14ac:dyDescent="0.25">
      <c r="D54" s="20"/>
      <c r="E54" s="20"/>
      <c r="F54" s="20"/>
      <c r="G54" s="20"/>
      <c r="H54" s="20"/>
      <c r="I54" s="21"/>
      <c r="J54" s="21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3"/>
      <c r="Y54" s="122">
        <f>Y53/$W$53</f>
        <v>0.78754216171240032</v>
      </c>
      <c r="Z54" s="122">
        <f>Z53/$W$53</f>
        <v>0.2003743499219918</v>
      </c>
      <c r="AA54" s="122">
        <f>AA53/$W$53</f>
        <v>1.2083488365607907E-2</v>
      </c>
    </row>
    <row r="55" spans="1:28" ht="40.5" customHeight="1" x14ac:dyDescent="0.25">
      <c r="J55" s="21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3"/>
    </row>
    <row r="56" spans="1:28" ht="39.6" customHeight="1" x14ac:dyDescent="0.25">
      <c r="J56" s="21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3"/>
    </row>
    <row r="57" spans="1:28" ht="71.099999999999994" customHeight="1" x14ac:dyDescent="0.25">
      <c r="J57" s="21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3"/>
    </row>
    <row r="58" spans="1:28" ht="51.95" customHeight="1" x14ac:dyDescent="0.25">
      <c r="J58" s="21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3"/>
    </row>
    <row r="59" spans="1:28" x14ac:dyDescent="0.25">
      <c r="D59" s="20"/>
      <c r="E59" s="20"/>
      <c r="F59" s="20"/>
      <c r="G59" s="20"/>
      <c r="H59" s="20"/>
      <c r="I59" s="21"/>
      <c r="J59" s="21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3"/>
    </row>
    <row r="60" spans="1:28" x14ac:dyDescent="0.25">
      <c r="C60" s="20"/>
      <c r="D60" s="20"/>
      <c r="E60" s="20"/>
      <c r="F60" s="20"/>
      <c r="G60" s="20"/>
      <c r="H60" s="20"/>
      <c r="I60" s="21"/>
      <c r="J60" s="21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3"/>
    </row>
    <row r="61" spans="1:28" x14ac:dyDescent="0.25">
      <c r="C61" s="20"/>
      <c r="D61" s="20"/>
      <c r="E61" s="20"/>
      <c r="F61" s="20"/>
      <c r="G61" s="20"/>
      <c r="H61" s="20"/>
      <c r="I61" s="21"/>
      <c r="J61" s="21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3"/>
    </row>
    <row r="62" spans="1:28" ht="28.5" x14ac:dyDescent="0.25">
      <c r="A62" s="131">
        <v>44517</v>
      </c>
      <c r="B62" s="19" t="s">
        <v>314</v>
      </c>
      <c r="C62" s="20">
        <v>1330</v>
      </c>
      <c r="D62" s="20"/>
      <c r="E62" s="20"/>
      <c r="F62" s="20"/>
      <c r="G62" s="20"/>
      <c r="H62" s="20"/>
      <c r="I62" s="21"/>
      <c r="J62" s="21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3"/>
    </row>
    <row r="63" spans="1:28" ht="28.5" x14ac:dyDescent="0.25">
      <c r="A63" s="131">
        <v>44487</v>
      </c>
      <c r="B63" s="19" t="s">
        <v>315</v>
      </c>
      <c r="C63" s="20">
        <v>2044</v>
      </c>
      <c r="D63" s="20"/>
      <c r="E63" s="20"/>
      <c r="F63" s="20"/>
      <c r="G63" s="20"/>
      <c r="H63" s="20"/>
      <c r="I63" s="21"/>
      <c r="J63" s="21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3"/>
    </row>
    <row r="64" spans="1:28" x14ac:dyDescent="0.25">
      <c r="A64" s="131">
        <v>44469</v>
      </c>
      <c r="B64" s="19" t="s">
        <v>316</v>
      </c>
      <c r="C64" s="20">
        <v>6432</v>
      </c>
      <c r="D64" s="20"/>
      <c r="E64" s="20"/>
      <c r="F64" s="20"/>
      <c r="G64" s="20"/>
      <c r="H64" s="20"/>
      <c r="I64" s="21"/>
      <c r="J64" s="21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3"/>
    </row>
    <row r="65" spans="1:21" ht="28.5" x14ac:dyDescent="0.25">
      <c r="A65" s="131">
        <v>44468</v>
      </c>
      <c r="B65" s="19" t="s">
        <v>317</v>
      </c>
      <c r="C65" s="20">
        <v>1100</v>
      </c>
      <c r="D65" s="20"/>
      <c r="E65" s="20"/>
      <c r="F65" s="20"/>
      <c r="G65" s="20"/>
      <c r="H65" s="20"/>
      <c r="I65" s="21"/>
      <c r="J65" s="21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3"/>
    </row>
    <row r="66" spans="1:21" x14ac:dyDescent="0.25">
      <c r="A66" s="131">
        <v>44468</v>
      </c>
      <c r="B66" s="19" t="s">
        <v>318</v>
      </c>
      <c r="C66" s="20">
        <v>1022</v>
      </c>
      <c r="D66" s="20"/>
      <c r="E66" s="20"/>
      <c r="F66" s="20"/>
      <c r="G66" s="20"/>
      <c r="H66" s="20"/>
      <c r="I66" s="21"/>
      <c r="J66" s="21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3"/>
    </row>
    <row r="67" spans="1:21" x14ac:dyDescent="0.25">
      <c r="C67" s="20">
        <f>SUM(C62:C66)</f>
        <v>11928</v>
      </c>
      <c r="D67" s="20"/>
      <c r="E67" s="20"/>
      <c r="F67" s="20"/>
      <c r="G67" s="20"/>
      <c r="H67" s="20"/>
      <c r="I67" s="21"/>
      <c r="J67" s="21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3"/>
    </row>
    <row r="68" spans="1:21" x14ac:dyDescent="0.25">
      <c r="C68" s="20"/>
      <c r="D68" s="20"/>
      <c r="E68" s="20"/>
      <c r="F68" s="20"/>
      <c r="G68" s="20"/>
      <c r="H68" s="20"/>
      <c r="I68" s="21"/>
      <c r="J68" s="21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3"/>
    </row>
    <row r="69" spans="1:21" x14ac:dyDescent="0.25">
      <c r="C69" s="20"/>
      <c r="D69" s="20"/>
      <c r="E69" s="20"/>
      <c r="F69" s="20"/>
      <c r="G69" s="20"/>
      <c r="H69" s="20"/>
      <c r="I69" s="21"/>
      <c r="J69" s="21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3"/>
    </row>
    <row r="70" spans="1:21" x14ac:dyDescent="0.25">
      <c r="C70" s="20"/>
      <c r="D70" s="20"/>
      <c r="E70" s="20"/>
      <c r="F70" s="20"/>
      <c r="G70" s="20"/>
      <c r="H70" s="20"/>
      <c r="I70" s="21"/>
      <c r="J70" s="21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3"/>
    </row>
    <row r="71" spans="1:21" x14ac:dyDescent="0.25">
      <c r="C71" s="20"/>
      <c r="D71" s="20"/>
      <c r="E71" s="20"/>
      <c r="F71" s="20"/>
      <c r="G71" s="20"/>
      <c r="H71" s="20"/>
      <c r="I71" s="21"/>
      <c r="J71" s="21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3"/>
    </row>
    <row r="72" spans="1:21" x14ac:dyDescent="0.25">
      <c r="C72" s="20"/>
      <c r="D72" s="20"/>
      <c r="E72" s="20"/>
      <c r="F72" s="20"/>
      <c r="G72" s="20"/>
      <c r="H72" s="20"/>
      <c r="I72" s="21"/>
      <c r="J72" s="21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3"/>
    </row>
    <row r="73" spans="1:21" x14ac:dyDescent="0.25">
      <c r="C73" s="20"/>
      <c r="D73" s="20"/>
      <c r="E73" s="20"/>
      <c r="F73" s="20"/>
      <c r="G73" s="20"/>
      <c r="H73" s="20"/>
      <c r="I73" s="21"/>
      <c r="J73" s="21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3"/>
    </row>
    <row r="74" spans="1:21" x14ac:dyDescent="0.25">
      <c r="C74" s="20"/>
      <c r="D74" s="20"/>
      <c r="E74" s="20"/>
      <c r="F74" s="20"/>
      <c r="G74" s="20"/>
      <c r="H74" s="20"/>
      <c r="I74" s="21"/>
      <c r="J74" s="21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3"/>
    </row>
    <row r="75" spans="1:21" x14ac:dyDescent="0.25">
      <c r="C75" s="20"/>
      <c r="D75" s="20"/>
      <c r="E75" s="20"/>
      <c r="F75" s="20"/>
      <c r="G75" s="20"/>
      <c r="H75" s="20"/>
      <c r="I75" s="21"/>
      <c r="J75" s="21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3"/>
    </row>
    <row r="76" spans="1:21" x14ac:dyDescent="0.25">
      <c r="C76" s="20"/>
      <c r="D76" s="20"/>
      <c r="E76" s="20"/>
      <c r="F76" s="20"/>
      <c r="G76" s="20"/>
      <c r="H76" s="20"/>
      <c r="I76" s="21"/>
      <c r="J76" s="21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3"/>
    </row>
    <row r="77" spans="1:21" x14ac:dyDescent="0.25">
      <c r="C77" s="20"/>
      <c r="D77" s="20"/>
      <c r="E77" s="20"/>
      <c r="F77" s="20"/>
      <c r="G77" s="20"/>
      <c r="H77" s="20"/>
      <c r="I77" s="21"/>
      <c r="J77" s="21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3"/>
    </row>
    <row r="78" spans="1:21" x14ac:dyDescent="0.25">
      <c r="C78" s="20"/>
      <c r="D78" s="20"/>
      <c r="E78" s="20"/>
      <c r="F78" s="20"/>
      <c r="G78" s="20"/>
      <c r="H78" s="20"/>
      <c r="I78" s="21"/>
      <c r="J78" s="21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3"/>
    </row>
    <row r="79" spans="1:21" x14ac:dyDescent="0.25">
      <c r="C79" s="20"/>
      <c r="D79" s="20"/>
      <c r="E79" s="20"/>
      <c r="F79" s="20"/>
      <c r="G79" s="20"/>
      <c r="H79" s="20"/>
      <c r="I79" s="21"/>
      <c r="J79" s="21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3"/>
    </row>
    <row r="80" spans="1:21" x14ac:dyDescent="0.25">
      <c r="C80" s="20"/>
      <c r="D80" s="20"/>
      <c r="E80" s="20"/>
      <c r="F80" s="20"/>
      <c r="G80" s="20"/>
      <c r="H80" s="20"/>
      <c r="I80" s="21"/>
      <c r="J80" s="21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3"/>
    </row>
    <row r="81" spans="3:21" x14ac:dyDescent="0.25">
      <c r="C81" s="20"/>
      <c r="D81" s="20"/>
      <c r="E81" s="20"/>
      <c r="F81" s="20"/>
      <c r="G81" s="20"/>
      <c r="H81" s="20"/>
      <c r="I81" s="21"/>
      <c r="J81" s="21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3"/>
    </row>
    <row r="82" spans="3:21" x14ac:dyDescent="0.25">
      <c r="C82" s="20"/>
      <c r="D82" s="20"/>
      <c r="E82" s="20"/>
      <c r="F82" s="20"/>
      <c r="G82" s="20"/>
      <c r="H82" s="20"/>
      <c r="I82" s="21"/>
      <c r="J82" s="21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3"/>
    </row>
    <row r="83" spans="3:21" x14ac:dyDescent="0.25">
      <c r="C83" s="20"/>
      <c r="D83" s="20"/>
      <c r="E83" s="20"/>
      <c r="F83" s="20"/>
      <c r="G83" s="20"/>
      <c r="H83" s="20"/>
      <c r="I83" s="21"/>
      <c r="J83" s="21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3"/>
    </row>
    <row r="84" spans="3:21" x14ac:dyDescent="0.25">
      <c r="C84" s="20"/>
      <c r="D84" s="20"/>
      <c r="E84" s="20"/>
      <c r="F84" s="20"/>
      <c r="G84" s="20"/>
      <c r="H84" s="20"/>
      <c r="I84" s="21"/>
      <c r="J84" s="21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3"/>
    </row>
    <row r="85" spans="3:21" x14ac:dyDescent="0.25">
      <c r="C85" s="20"/>
      <c r="D85" s="20"/>
      <c r="E85" s="20"/>
      <c r="F85" s="20"/>
      <c r="G85" s="20"/>
      <c r="H85" s="20"/>
      <c r="I85" s="21"/>
      <c r="J85" s="21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3"/>
    </row>
    <row r="86" spans="3:21" x14ac:dyDescent="0.25">
      <c r="C86" s="20"/>
      <c r="D86" s="20"/>
      <c r="E86" s="20"/>
      <c r="F86" s="20"/>
      <c r="G86" s="20"/>
      <c r="H86" s="20"/>
      <c r="I86" s="21"/>
      <c r="J86" s="21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3"/>
    </row>
    <row r="87" spans="3:21" x14ac:dyDescent="0.25">
      <c r="C87" s="20"/>
      <c r="D87" s="20"/>
      <c r="E87" s="20"/>
      <c r="F87" s="20"/>
      <c r="G87" s="20"/>
      <c r="H87" s="20"/>
      <c r="I87" s="21"/>
      <c r="J87" s="21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3"/>
    </row>
    <row r="88" spans="3:21" x14ac:dyDescent="0.25">
      <c r="C88" s="20"/>
      <c r="D88" s="20"/>
      <c r="E88" s="20"/>
      <c r="F88" s="20"/>
      <c r="G88" s="20"/>
      <c r="H88" s="20"/>
      <c r="I88" s="21"/>
      <c r="J88" s="21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3"/>
    </row>
    <row r="89" spans="3:21" x14ac:dyDescent="0.25">
      <c r="C89" s="20"/>
      <c r="D89" s="20"/>
      <c r="E89" s="20"/>
      <c r="F89" s="20"/>
      <c r="G89" s="20"/>
      <c r="H89" s="20"/>
      <c r="I89" s="21"/>
      <c r="J89" s="21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3"/>
    </row>
    <row r="90" spans="3:21" x14ac:dyDescent="0.25">
      <c r="C90" s="20"/>
      <c r="D90" s="20"/>
      <c r="E90" s="20"/>
      <c r="F90" s="20"/>
      <c r="G90" s="20"/>
      <c r="H90" s="20"/>
      <c r="I90" s="21"/>
      <c r="J90" s="21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3"/>
    </row>
    <row r="91" spans="3:21" x14ac:dyDescent="0.25">
      <c r="C91" s="20"/>
      <c r="D91" s="20"/>
      <c r="E91" s="20"/>
      <c r="F91" s="20"/>
      <c r="G91" s="20"/>
      <c r="H91" s="20"/>
      <c r="I91" s="21"/>
      <c r="J91" s="21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3"/>
    </row>
    <row r="92" spans="3:21" x14ac:dyDescent="0.25">
      <c r="C92" s="20"/>
      <c r="D92" s="20"/>
      <c r="E92" s="20"/>
      <c r="F92" s="20"/>
      <c r="G92" s="20"/>
      <c r="H92" s="20"/>
      <c r="I92" s="21"/>
      <c r="J92" s="21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3"/>
    </row>
    <row r="93" spans="3:21" x14ac:dyDescent="0.25">
      <c r="C93" s="20"/>
      <c r="D93" s="20"/>
      <c r="E93" s="20"/>
      <c r="F93" s="20"/>
      <c r="G93" s="20"/>
      <c r="H93" s="20"/>
      <c r="I93" s="21"/>
      <c r="J93" s="21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3"/>
    </row>
    <row r="94" spans="3:21" x14ac:dyDescent="0.25">
      <c r="C94" s="20"/>
      <c r="D94" s="20"/>
      <c r="E94" s="20"/>
      <c r="F94" s="20"/>
      <c r="G94" s="20"/>
      <c r="H94" s="20"/>
      <c r="I94" s="21"/>
      <c r="J94" s="21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3"/>
    </row>
    <row r="95" spans="3:21" x14ac:dyDescent="0.25">
      <c r="C95" s="20"/>
      <c r="D95" s="20"/>
      <c r="E95" s="20"/>
      <c r="F95" s="20"/>
      <c r="G95" s="20"/>
      <c r="H95" s="20"/>
      <c r="I95" s="21"/>
      <c r="J95" s="21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3"/>
    </row>
    <row r="96" spans="3:21" x14ac:dyDescent="0.25">
      <c r="C96" s="20"/>
      <c r="D96" s="20"/>
      <c r="E96" s="20"/>
      <c r="F96" s="20"/>
      <c r="G96" s="20"/>
      <c r="H96" s="20"/>
      <c r="I96" s="21"/>
      <c r="J96" s="21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3"/>
    </row>
    <row r="97" spans="3:21" x14ac:dyDescent="0.25">
      <c r="C97" s="20"/>
      <c r="D97" s="20"/>
      <c r="E97" s="20"/>
      <c r="F97" s="20"/>
      <c r="G97" s="20"/>
      <c r="H97" s="20"/>
      <c r="I97" s="21"/>
      <c r="J97" s="21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3"/>
    </row>
    <row r="98" spans="3:21" x14ac:dyDescent="0.25">
      <c r="C98" s="20"/>
      <c r="D98" s="20"/>
      <c r="E98" s="20"/>
      <c r="F98" s="20"/>
      <c r="G98" s="20"/>
      <c r="H98" s="20"/>
      <c r="I98" s="21"/>
      <c r="J98" s="21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3"/>
    </row>
    <row r="99" spans="3:21" x14ac:dyDescent="0.25">
      <c r="C99" s="20"/>
      <c r="D99" s="20"/>
      <c r="E99" s="20"/>
      <c r="F99" s="20"/>
      <c r="G99" s="20"/>
      <c r="H99" s="20"/>
      <c r="I99" s="21"/>
      <c r="J99" s="21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3"/>
    </row>
    <row r="100" spans="3:21" x14ac:dyDescent="0.25">
      <c r="C100" s="20"/>
      <c r="D100" s="20"/>
      <c r="E100" s="20"/>
      <c r="F100" s="20"/>
      <c r="G100" s="20"/>
      <c r="H100" s="20"/>
      <c r="I100" s="21"/>
      <c r="J100" s="21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3"/>
    </row>
    <row r="101" spans="3:21" x14ac:dyDescent="0.25">
      <c r="C101" s="20"/>
      <c r="D101" s="20"/>
      <c r="E101" s="20"/>
      <c r="F101" s="20"/>
      <c r="G101" s="20"/>
      <c r="H101" s="20"/>
      <c r="I101" s="21"/>
      <c r="J101" s="21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3"/>
    </row>
    <row r="102" spans="3:21" x14ac:dyDescent="0.25">
      <c r="C102" s="20"/>
      <c r="D102" s="20"/>
      <c r="E102" s="20"/>
      <c r="F102" s="20"/>
      <c r="G102" s="20"/>
      <c r="H102" s="20"/>
      <c r="I102" s="21"/>
      <c r="J102" s="21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3"/>
    </row>
    <row r="103" spans="3:21" x14ac:dyDescent="0.25">
      <c r="C103" s="20"/>
      <c r="D103" s="20"/>
      <c r="E103" s="20"/>
      <c r="F103" s="20"/>
      <c r="G103" s="20"/>
      <c r="H103" s="20"/>
      <c r="I103" s="21"/>
      <c r="J103" s="21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3"/>
    </row>
    <row r="104" spans="3:21" x14ac:dyDescent="0.25">
      <c r="C104" s="20"/>
      <c r="D104" s="20"/>
      <c r="E104" s="20"/>
      <c r="F104" s="20"/>
      <c r="G104" s="20"/>
      <c r="H104" s="20"/>
      <c r="I104" s="21"/>
      <c r="J104" s="21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3"/>
    </row>
    <row r="105" spans="3:21" x14ac:dyDescent="0.25">
      <c r="C105" s="20"/>
      <c r="D105" s="20"/>
      <c r="E105" s="20"/>
      <c r="F105" s="20"/>
      <c r="G105" s="20"/>
      <c r="H105" s="20"/>
      <c r="I105" s="21"/>
      <c r="J105" s="21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3"/>
    </row>
    <row r="106" spans="3:21" x14ac:dyDescent="0.25">
      <c r="C106" s="20"/>
      <c r="D106" s="20"/>
      <c r="E106" s="20"/>
      <c r="F106" s="20"/>
      <c r="G106" s="20"/>
      <c r="H106" s="20"/>
      <c r="I106" s="21"/>
      <c r="J106" s="21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3"/>
    </row>
    <row r="107" spans="3:21" x14ac:dyDescent="0.25">
      <c r="C107" s="20"/>
      <c r="D107" s="20"/>
      <c r="E107" s="20"/>
      <c r="F107" s="20"/>
      <c r="G107" s="20"/>
      <c r="H107" s="20"/>
      <c r="I107" s="21"/>
      <c r="J107" s="21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3"/>
    </row>
    <row r="108" spans="3:21" x14ac:dyDescent="0.25">
      <c r="C108" s="20"/>
      <c r="D108" s="20"/>
      <c r="E108" s="20"/>
      <c r="F108" s="20"/>
      <c r="G108" s="20"/>
      <c r="H108" s="20"/>
      <c r="I108" s="21"/>
      <c r="J108" s="21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3"/>
    </row>
    <row r="109" spans="3:21" x14ac:dyDescent="0.25">
      <c r="C109" s="20"/>
      <c r="D109" s="20"/>
      <c r="E109" s="20"/>
      <c r="F109" s="20"/>
      <c r="G109" s="20"/>
      <c r="H109" s="20"/>
      <c r="I109" s="21"/>
      <c r="J109" s="21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3"/>
    </row>
    <row r="110" spans="3:21" x14ac:dyDescent="0.25">
      <c r="C110" s="20"/>
      <c r="D110" s="20"/>
      <c r="E110" s="20"/>
      <c r="F110" s="20"/>
      <c r="G110" s="20"/>
      <c r="H110" s="20"/>
      <c r="I110" s="21"/>
      <c r="J110" s="21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3"/>
    </row>
    <row r="111" spans="3:21" x14ac:dyDescent="0.25">
      <c r="C111" s="20"/>
      <c r="D111" s="20"/>
      <c r="E111" s="20"/>
      <c r="F111" s="20"/>
      <c r="G111" s="20"/>
      <c r="H111" s="20"/>
      <c r="I111" s="21"/>
      <c r="J111" s="21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3"/>
    </row>
    <row r="112" spans="3:21" x14ac:dyDescent="0.25">
      <c r="C112" s="20"/>
      <c r="D112" s="20"/>
      <c r="E112" s="20"/>
      <c r="F112" s="20"/>
      <c r="G112" s="20"/>
      <c r="H112" s="20"/>
      <c r="I112" s="21"/>
      <c r="J112" s="21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3"/>
    </row>
    <row r="113" spans="3:21" x14ac:dyDescent="0.25">
      <c r="C113" s="20"/>
      <c r="D113" s="20"/>
      <c r="E113" s="20"/>
      <c r="F113" s="20"/>
      <c r="G113" s="20"/>
      <c r="H113" s="20"/>
      <c r="I113" s="21"/>
      <c r="J113" s="21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3"/>
    </row>
    <row r="114" spans="3:21" x14ac:dyDescent="0.25">
      <c r="C114" s="20"/>
      <c r="D114" s="20"/>
      <c r="E114" s="20"/>
      <c r="F114" s="20"/>
      <c r="G114" s="20"/>
      <c r="H114" s="20"/>
      <c r="I114" s="22"/>
      <c r="J114" s="22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3"/>
    </row>
    <row r="115" spans="3:21" x14ac:dyDescent="0.25">
      <c r="I115" s="21"/>
      <c r="J115" s="21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</row>
    <row r="116" spans="3:21" x14ac:dyDescent="0.25">
      <c r="I116" s="21"/>
      <c r="J116" s="21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</row>
    <row r="117" spans="3:21" x14ac:dyDescent="0.25">
      <c r="I117" s="21"/>
      <c r="J117" s="21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</row>
    <row r="118" spans="3:21" x14ac:dyDescent="0.25">
      <c r="I118" s="21"/>
      <c r="J118" s="21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</row>
    <row r="119" spans="3:21" x14ac:dyDescent="0.25">
      <c r="I119" s="21"/>
      <c r="J119" s="21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</row>
    <row r="120" spans="3:21" x14ac:dyDescent="0.25">
      <c r="I120" s="21"/>
      <c r="J120" s="21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</row>
    <row r="121" spans="3:21" x14ac:dyDescent="0.25">
      <c r="I121" s="21"/>
      <c r="J121" s="21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</row>
    <row r="122" spans="3:21" x14ac:dyDescent="0.25">
      <c r="I122" s="21"/>
      <c r="J122" s="21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</row>
    <row r="123" spans="3:21" x14ac:dyDescent="0.25">
      <c r="I123" s="21"/>
      <c r="J123" s="21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</row>
    <row r="124" spans="3:21" x14ac:dyDescent="0.25">
      <c r="I124" s="21"/>
      <c r="J124" s="21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</row>
    <row r="125" spans="3:21" x14ac:dyDescent="0.25">
      <c r="I125" s="21"/>
      <c r="J125" s="21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</row>
    <row r="126" spans="3:21" x14ac:dyDescent="0.25">
      <c r="I126" s="21"/>
      <c r="J126" s="21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</row>
    <row r="127" spans="3:21" x14ac:dyDescent="0.25">
      <c r="I127" s="21"/>
      <c r="J127" s="21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</row>
    <row r="128" spans="3:21" x14ac:dyDescent="0.25">
      <c r="I128" s="21"/>
      <c r="J128" s="21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</row>
    <row r="129" spans="9:21" x14ac:dyDescent="0.25">
      <c r="I129" s="21"/>
      <c r="J129" s="21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</row>
  </sheetData>
  <autoFilter ref="A9:AB58" xr:uid="{0B5A2EA2-0045-48E2-AFB5-A91C0FCD8172}"/>
  <mergeCells count="8">
    <mergeCell ref="G5:I5"/>
    <mergeCell ref="G6:I6"/>
    <mergeCell ref="A1:D1"/>
    <mergeCell ref="K8:W8"/>
    <mergeCell ref="X2:Y2"/>
    <mergeCell ref="G3:I3"/>
    <mergeCell ref="G4:I4"/>
    <mergeCell ref="G2:I2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6F917-3885-4D61-A961-1A8C58161F80}">
  <dimension ref="A1:AG39"/>
  <sheetViews>
    <sheetView showGridLines="0" topLeftCell="A2" zoomScale="80" zoomScaleNormal="80" workbookViewId="0">
      <pane xSplit="2" ySplit="1" topLeftCell="C6" activePane="bottomRight" state="frozen"/>
      <selection activeCell="A2" sqref="A2"/>
      <selection pane="topRight" activeCell="C2" sqref="C2"/>
      <selection pane="bottomLeft" activeCell="A3" sqref="A3"/>
      <selection pane="bottomRight" activeCell="A15" sqref="A15:E15"/>
    </sheetView>
  </sheetViews>
  <sheetFormatPr baseColWidth="10" defaultColWidth="11.42578125" defaultRowHeight="15" x14ac:dyDescent="0.25"/>
  <cols>
    <col min="1" max="1" width="65.7109375" style="9" customWidth="1"/>
    <col min="2" max="3" width="19.140625" style="9" customWidth="1"/>
    <col min="4" max="4" width="17.42578125" style="9" bestFit="1" customWidth="1"/>
    <col min="5" max="5" width="21.42578125" style="9" customWidth="1"/>
    <col min="6" max="6" width="26.5703125" style="9" customWidth="1"/>
    <col min="7" max="7" width="49" style="9" customWidth="1"/>
    <col min="8" max="8" width="30.85546875" style="9" customWidth="1"/>
    <col min="9" max="9" width="38" style="9" customWidth="1"/>
    <col min="10" max="10" width="33.42578125" style="9" customWidth="1"/>
    <col min="11" max="11" width="12" style="59" customWidth="1"/>
    <col min="12" max="12" width="9.28515625" style="59" customWidth="1"/>
    <col min="13" max="14" width="24.28515625" style="9" customWidth="1"/>
    <col min="15" max="15" width="13.7109375" style="9" customWidth="1"/>
    <col min="16" max="16" width="22.5703125" style="9" customWidth="1"/>
    <col min="17" max="17" width="16.28515625" style="9" customWidth="1"/>
    <col min="18" max="18" width="43.5703125" style="9" customWidth="1"/>
    <col min="19" max="30" width="10.140625" style="7" customWidth="1"/>
    <col min="31" max="31" width="11.42578125" style="9"/>
    <col min="32" max="32" width="15.7109375" style="9" customWidth="1"/>
    <col min="33" max="16384" width="11.42578125" style="9"/>
  </cols>
  <sheetData>
    <row r="1" spans="1:33" x14ac:dyDescent="0.25">
      <c r="AF1" s="9" t="s">
        <v>69</v>
      </c>
      <c r="AG1" s="9">
        <v>4.0999999999999996</v>
      </c>
    </row>
    <row r="2" spans="1:33" s="7" customFormat="1" ht="46.5" x14ac:dyDescent="0.25">
      <c r="A2" s="2" t="s">
        <v>49</v>
      </c>
      <c r="B2" s="64" t="s">
        <v>43</v>
      </c>
      <c r="C2" s="64" t="s">
        <v>158</v>
      </c>
      <c r="D2" s="64" t="s">
        <v>29</v>
      </c>
      <c r="E2" s="64" t="s">
        <v>47</v>
      </c>
      <c r="F2" s="2" t="s">
        <v>46</v>
      </c>
      <c r="G2" s="2" t="s">
        <v>24</v>
      </c>
      <c r="H2" s="2" t="s">
        <v>23</v>
      </c>
      <c r="I2" s="2" t="s">
        <v>48</v>
      </c>
      <c r="J2" s="3" t="s">
        <v>55</v>
      </c>
      <c r="K2" s="60" t="s">
        <v>30</v>
      </c>
      <c r="L2" s="60" t="s">
        <v>160</v>
      </c>
      <c r="M2" s="3" t="s">
        <v>31</v>
      </c>
      <c r="N2" s="3" t="s">
        <v>51</v>
      </c>
      <c r="O2" s="2" t="s">
        <v>26</v>
      </c>
      <c r="P2" s="2" t="s">
        <v>22</v>
      </c>
      <c r="Q2" s="4" t="s">
        <v>21</v>
      </c>
      <c r="R2" s="4" t="s">
        <v>70</v>
      </c>
      <c r="S2" s="73">
        <v>44927</v>
      </c>
      <c r="T2" s="73">
        <v>44958</v>
      </c>
      <c r="U2" s="73">
        <v>44986</v>
      </c>
      <c r="V2" s="73">
        <v>45017</v>
      </c>
      <c r="W2" s="73">
        <v>45047</v>
      </c>
      <c r="X2" s="73">
        <v>45078</v>
      </c>
      <c r="Y2" s="73">
        <v>45108</v>
      </c>
      <c r="Z2" s="73">
        <v>45139</v>
      </c>
      <c r="AA2" s="73">
        <v>45170</v>
      </c>
      <c r="AB2" s="73">
        <v>45200</v>
      </c>
      <c r="AC2" s="73">
        <v>45231</v>
      </c>
      <c r="AD2" s="73">
        <v>45261</v>
      </c>
      <c r="AE2" s="6" t="s">
        <v>32</v>
      </c>
      <c r="AF2" s="6" t="s">
        <v>140</v>
      </c>
    </row>
    <row r="3" spans="1:33" ht="28.5" x14ac:dyDescent="0.25">
      <c r="A3" s="8" t="s">
        <v>13</v>
      </c>
      <c r="B3" s="8" t="s">
        <v>45</v>
      </c>
      <c r="C3" s="8"/>
      <c r="D3" s="8" t="s">
        <v>41</v>
      </c>
      <c r="E3" s="8" t="s">
        <v>56</v>
      </c>
      <c r="F3" s="8" t="s">
        <v>10</v>
      </c>
      <c r="G3" s="8" t="s">
        <v>9</v>
      </c>
      <c r="H3" s="8" t="s">
        <v>11</v>
      </c>
      <c r="I3" s="8" t="s">
        <v>5</v>
      </c>
      <c r="J3" s="8" t="s">
        <v>97</v>
      </c>
      <c r="K3" s="8" t="s">
        <v>116</v>
      </c>
      <c r="L3" s="37" t="s">
        <v>161</v>
      </c>
      <c r="M3" s="32"/>
      <c r="N3" s="32"/>
      <c r="O3" s="8"/>
      <c r="P3" s="8" t="s">
        <v>12</v>
      </c>
      <c r="Q3" s="8" t="s">
        <v>2</v>
      </c>
      <c r="R3" s="33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9">
        <f t="shared" ref="AE3:AE4" si="0">SUBTOTAL(9,S3:AD3)</f>
        <v>0</v>
      </c>
      <c r="AF3" s="39">
        <f t="shared" ref="AF3:AF4" si="1">IF(Q3="Dólar",AE3*$AG$1,AE3)</f>
        <v>0</v>
      </c>
    </row>
    <row r="4" spans="1:33" ht="29.1" customHeight="1" x14ac:dyDescent="0.25">
      <c r="A4" s="8" t="s">
        <v>104</v>
      </c>
      <c r="B4" s="8" t="s">
        <v>95</v>
      </c>
      <c r="C4" s="8"/>
      <c r="D4" s="8" t="s">
        <v>41</v>
      </c>
      <c r="E4" s="8" t="s">
        <v>96</v>
      </c>
      <c r="F4" s="8" t="s">
        <v>20</v>
      </c>
      <c r="G4" s="8" t="s">
        <v>101</v>
      </c>
      <c r="H4" s="8" t="s">
        <v>102</v>
      </c>
      <c r="I4" s="8" t="s">
        <v>5</v>
      </c>
      <c r="J4" s="8" t="s">
        <v>112</v>
      </c>
      <c r="K4" s="8" t="s">
        <v>116</v>
      </c>
      <c r="L4" s="37" t="s">
        <v>163</v>
      </c>
      <c r="M4" s="32"/>
      <c r="N4" s="32"/>
      <c r="O4" s="34"/>
      <c r="P4" s="34"/>
      <c r="Q4" s="34" t="s">
        <v>1</v>
      </c>
      <c r="R4" s="35"/>
      <c r="S4" s="36"/>
      <c r="T4" s="36"/>
      <c r="U4" s="36"/>
      <c r="V4" s="36"/>
      <c r="W4" s="36"/>
      <c r="X4" s="36"/>
      <c r="Y4" s="30">
        <v>15000</v>
      </c>
      <c r="Z4" s="30">
        <v>1500</v>
      </c>
      <c r="AA4" s="30">
        <v>1500</v>
      </c>
      <c r="AB4" s="30">
        <v>1500</v>
      </c>
      <c r="AC4" s="30">
        <v>1500</v>
      </c>
      <c r="AD4" s="30">
        <v>1500</v>
      </c>
      <c r="AE4" s="39">
        <f t="shared" si="0"/>
        <v>22500</v>
      </c>
      <c r="AF4" s="39">
        <f t="shared" si="1"/>
        <v>22500</v>
      </c>
    </row>
    <row r="5" spans="1:33" s="10" customFormat="1" ht="28.5" x14ac:dyDescent="0.25">
      <c r="A5" s="8" t="s">
        <v>105</v>
      </c>
      <c r="B5" s="8" t="s">
        <v>95</v>
      </c>
      <c r="C5" s="8"/>
      <c r="D5" s="8" t="s">
        <v>41</v>
      </c>
      <c r="E5" s="8" t="s">
        <v>96</v>
      </c>
      <c r="F5" s="8" t="s">
        <v>20</v>
      </c>
      <c r="G5" s="8" t="s">
        <v>101</v>
      </c>
      <c r="H5" s="8" t="s">
        <v>102</v>
      </c>
      <c r="I5" s="8" t="s">
        <v>5</v>
      </c>
      <c r="J5" s="34"/>
      <c r="K5" s="8" t="s">
        <v>116</v>
      </c>
      <c r="L5" s="37" t="s">
        <v>163</v>
      </c>
      <c r="M5" s="32"/>
      <c r="N5" s="32"/>
      <c r="O5" s="34"/>
      <c r="P5" s="34"/>
      <c r="Q5" s="34"/>
      <c r="R5" s="35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9">
        <f t="shared" ref="AE5:AE26" si="2">SUBTOTAL(9,S5:AD5)</f>
        <v>0</v>
      </c>
      <c r="AF5" s="39">
        <f t="shared" ref="AF5:AF26" si="3">IF(Q5="Dólar",AE5*$AG$1,AE5)</f>
        <v>0</v>
      </c>
    </row>
    <row r="6" spans="1:33" s="11" customFormat="1" ht="28.5" x14ac:dyDescent="0.25">
      <c r="A6" s="8" t="s">
        <v>50</v>
      </c>
      <c r="B6" s="8" t="s">
        <v>170</v>
      </c>
      <c r="C6" s="8" t="s">
        <v>171</v>
      </c>
      <c r="D6" s="8" t="s">
        <v>41</v>
      </c>
      <c r="E6" s="8" t="s">
        <v>28</v>
      </c>
      <c r="F6" s="8" t="s">
        <v>4</v>
      </c>
      <c r="G6" s="8" t="s">
        <v>7</v>
      </c>
      <c r="H6" s="8" t="s">
        <v>6</v>
      </c>
      <c r="I6" s="8" t="s">
        <v>149</v>
      </c>
      <c r="J6" s="8"/>
      <c r="K6" s="8" t="s">
        <v>116</v>
      </c>
      <c r="L6" s="37" t="s">
        <v>163</v>
      </c>
      <c r="M6" s="32"/>
      <c r="N6" s="32"/>
      <c r="O6" s="8" t="s">
        <v>25</v>
      </c>
      <c r="P6" s="8" t="s">
        <v>8</v>
      </c>
      <c r="Q6" s="8" t="s">
        <v>2</v>
      </c>
      <c r="R6" s="33"/>
      <c r="S6" s="70">
        <v>9000</v>
      </c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39">
        <f t="shared" si="2"/>
        <v>9000</v>
      </c>
      <c r="AF6" s="39">
        <f t="shared" si="3"/>
        <v>36900</v>
      </c>
    </row>
    <row r="7" spans="1:33" s="11" customFormat="1" ht="15.75" x14ac:dyDescent="0.25">
      <c r="A7" s="8" t="s">
        <v>94</v>
      </c>
      <c r="B7" s="8" t="s">
        <v>168</v>
      </c>
      <c r="C7" s="8" t="s">
        <v>169</v>
      </c>
      <c r="D7" s="8" t="s">
        <v>41</v>
      </c>
      <c r="E7" s="8" t="s">
        <v>28</v>
      </c>
      <c r="F7" s="8" t="s">
        <v>20</v>
      </c>
      <c r="G7" s="8" t="s">
        <v>20</v>
      </c>
      <c r="H7" s="8" t="s">
        <v>3</v>
      </c>
      <c r="I7" s="8" t="s">
        <v>148</v>
      </c>
      <c r="J7" s="8" t="s">
        <v>125</v>
      </c>
      <c r="K7" s="8" t="s">
        <v>116</v>
      </c>
      <c r="L7" s="37" t="s">
        <v>162</v>
      </c>
      <c r="M7" s="32"/>
      <c r="N7" s="32"/>
      <c r="O7" s="8" t="s">
        <v>25</v>
      </c>
      <c r="P7" s="8" t="s">
        <v>114</v>
      </c>
      <c r="Q7" s="8" t="s">
        <v>2</v>
      </c>
      <c r="R7" s="33"/>
      <c r="S7" s="70">
        <v>8000</v>
      </c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39">
        <f t="shared" si="2"/>
        <v>8000</v>
      </c>
      <c r="AF7" s="39">
        <f t="shared" si="3"/>
        <v>32800</v>
      </c>
    </row>
    <row r="8" spans="1:33" s="10" customFormat="1" ht="15.75" x14ac:dyDescent="0.25">
      <c r="A8" s="8" t="s">
        <v>179</v>
      </c>
      <c r="B8" s="8" t="s">
        <v>170</v>
      </c>
      <c r="C8" s="8" t="s">
        <v>171</v>
      </c>
      <c r="D8" s="8" t="s">
        <v>41</v>
      </c>
      <c r="E8" s="8"/>
      <c r="F8" s="8"/>
      <c r="G8" s="8"/>
      <c r="H8" s="8"/>
      <c r="I8" s="8"/>
      <c r="J8" s="8"/>
      <c r="K8" s="37"/>
      <c r="L8" s="37"/>
      <c r="M8" s="32"/>
      <c r="N8" s="32"/>
      <c r="O8" s="8"/>
      <c r="P8" s="8"/>
      <c r="Q8" s="8"/>
      <c r="R8" s="33"/>
      <c r="S8" s="70"/>
      <c r="T8" s="70"/>
      <c r="U8" s="71"/>
      <c r="V8" s="71"/>
      <c r="W8" s="71"/>
      <c r="X8" s="71"/>
      <c r="Y8" s="71"/>
      <c r="Z8" s="71"/>
      <c r="AA8" s="71"/>
      <c r="AB8" s="71"/>
      <c r="AC8" s="71"/>
      <c r="AD8" s="71"/>
      <c r="AE8" s="39">
        <f t="shared" si="2"/>
        <v>0</v>
      </c>
      <c r="AF8" s="39">
        <f t="shared" si="3"/>
        <v>0</v>
      </c>
    </row>
    <row r="9" spans="1:33" s="10" customFormat="1" ht="15.75" x14ac:dyDescent="0.25">
      <c r="A9" s="8" t="s">
        <v>180</v>
      </c>
      <c r="B9" s="8" t="s">
        <v>170</v>
      </c>
      <c r="C9" s="8" t="s">
        <v>171</v>
      </c>
      <c r="D9" s="8" t="s">
        <v>41</v>
      </c>
      <c r="E9" s="8"/>
      <c r="F9" s="8"/>
      <c r="G9" s="8"/>
      <c r="H9" s="8"/>
      <c r="I9" s="8"/>
      <c r="J9" s="8"/>
      <c r="K9" s="37"/>
      <c r="L9" s="37"/>
      <c r="M9" s="32"/>
      <c r="N9" s="32"/>
      <c r="O9" s="8"/>
      <c r="P9" s="8"/>
      <c r="Q9" s="8"/>
      <c r="R9" s="33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39">
        <f t="shared" si="2"/>
        <v>0</v>
      </c>
      <c r="AF9" s="39">
        <f t="shared" si="3"/>
        <v>0</v>
      </c>
    </row>
    <row r="10" spans="1:33" s="10" customFormat="1" ht="15.75" x14ac:dyDescent="0.25">
      <c r="A10" s="8" t="s">
        <v>181</v>
      </c>
      <c r="B10" s="8" t="s">
        <v>170</v>
      </c>
      <c r="C10" s="8" t="s">
        <v>171</v>
      </c>
      <c r="D10" s="8" t="s">
        <v>41</v>
      </c>
      <c r="E10" s="8"/>
      <c r="F10" s="8"/>
      <c r="G10" s="8"/>
      <c r="H10" s="8"/>
      <c r="I10" s="8"/>
      <c r="J10" s="8"/>
      <c r="K10" s="37"/>
      <c r="L10" s="37"/>
      <c r="M10" s="32"/>
      <c r="N10" s="32"/>
      <c r="O10" s="8"/>
      <c r="P10" s="8"/>
      <c r="Q10" s="8"/>
      <c r="R10" s="33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39">
        <f t="shared" si="2"/>
        <v>0</v>
      </c>
      <c r="AF10" s="39">
        <f t="shared" si="3"/>
        <v>0</v>
      </c>
    </row>
    <row r="11" spans="1:33" s="10" customFormat="1" ht="15.75" x14ac:dyDescent="0.25">
      <c r="A11" s="8" t="s">
        <v>182</v>
      </c>
      <c r="B11" s="8" t="s">
        <v>164</v>
      </c>
      <c r="C11" s="8" t="s">
        <v>165</v>
      </c>
      <c r="D11" s="8" t="s">
        <v>41</v>
      </c>
      <c r="E11" s="8"/>
      <c r="F11" s="8"/>
      <c r="G11" s="8"/>
      <c r="H11" s="8"/>
      <c r="I11" s="8"/>
      <c r="J11" s="8"/>
      <c r="K11" s="37"/>
      <c r="L11" s="37"/>
      <c r="M11" s="32"/>
      <c r="N11" s="32"/>
      <c r="O11" s="8"/>
      <c r="P11" s="8"/>
      <c r="Q11" s="8"/>
      <c r="R11" s="33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39">
        <f t="shared" si="2"/>
        <v>0</v>
      </c>
      <c r="AF11" s="39">
        <f t="shared" si="3"/>
        <v>0</v>
      </c>
    </row>
    <row r="12" spans="1:33" s="10" customFormat="1" ht="15.75" x14ac:dyDescent="0.25">
      <c r="A12" s="8" t="s">
        <v>185</v>
      </c>
      <c r="B12" s="8" t="s">
        <v>168</v>
      </c>
      <c r="C12" s="8" t="s">
        <v>169</v>
      </c>
      <c r="D12" s="8" t="s">
        <v>41</v>
      </c>
      <c r="E12" s="8"/>
      <c r="F12" s="8"/>
      <c r="G12" s="8"/>
      <c r="H12" s="8"/>
      <c r="I12" s="8"/>
      <c r="J12" s="8"/>
      <c r="K12" s="37"/>
      <c r="L12" s="37"/>
      <c r="M12" s="32"/>
      <c r="N12" s="32"/>
      <c r="O12" s="8"/>
      <c r="P12" s="8"/>
      <c r="Q12" s="8"/>
      <c r="R12" s="33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39">
        <f t="shared" si="2"/>
        <v>0</v>
      </c>
      <c r="AF12" s="39">
        <f t="shared" si="3"/>
        <v>0</v>
      </c>
    </row>
    <row r="13" spans="1:33" s="10" customFormat="1" ht="15.75" x14ac:dyDescent="0.25">
      <c r="A13" s="8" t="s">
        <v>186</v>
      </c>
      <c r="B13" s="8" t="s">
        <v>168</v>
      </c>
      <c r="C13" s="8" t="s">
        <v>169</v>
      </c>
      <c r="D13" s="8" t="s">
        <v>41</v>
      </c>
      <c r="E13" s="8"/>
      <c r="F13" s="8"/>
      <c r="G13" s="8"/>
      <c r="H13" s="8"/>
      <c r="I13" s="8"/>
      <c r="J13" s="8"/>
      <c r="K13" s="37"/>
      <c r="L13" s="37"/>
      <c r="M13" s="32"/>
      <c r="N13" s="32"/>
      <c r="O13" s="8"/>
      <c r="P13" s="8"/>
      <c r="Q13" s="8"/>
      <c r="R13" s="33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39">
        <f t="shared" si="2"/>
        <v>0</v>
      </c>
      <c r="AF13" s="39">
        <f t="shared" si="3"/>
        <v>0</v>
      </c>
    </row>
    <row r="14" spans="1:33" s="10" customFormat="1" ht="71.25" x14ac:dyDescent="0.25">
      <c r="A14" s="8" t="s">
        <v>107</v>
      </c>
      <c r="B14" s="8" t="s">
        <v>95</v>
      </c>
      <c r="C14" s="8" t="s">
        <v>187</v>
      </c>
      <c r="D14" s="8" t="s">
        <v>41</v>
      </c>
      <c r="E14" s="8" t="s">
        <v>187</v>
      </c>
      <c r="G14" s="8" t="s">
        <v>101</v>
      </c>
      <c r="H14" s="8" t="s">
        <v>15</v>
      </c>
      <c r="I14" s="8" t="s">
        <v>5</v>
      </c>
      <c r="J14" s="8" t="s">
        <v>39</v>
      </c>
      <c r="K14" s="37" t="s">
        <v>111</v>
      </c>
      <c r="L14" s="37" t="s">
        <v>162</v>
      </c>
      <c r="M14" s="32"/>
      <c r="N14" s="32"/>
      <c r="O14" s="8"/>
      <c r="P14" s="8"/>
      <c r="Q14" s="8" t="s">
        <v>1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39"/>
      <c r="AE14" s="39">
        <f t="shared" ref="AE14" si="4">SUBTOTAL(9,S14:AD14)</f>
        <v>0</v>
      </c>
      <c r="AF14" s="39">
        <f t="shared" ref="AF14" si="5">IF(Q14="Dólar",AE14*$AG$1,AE14)</f>
        <v>0</v>
      </c>
    </row>
    <row r="15" spans="1:33" s="10" customFormat="1" ht="16.5" customHeight="1" x14ac:dyDescent="0.25">
      <c r="A15" s="8" t="s">
        <v>98</v>
      </c>
      <c r="B15" s="8" t="s">
        <v>44</v>
      </c>
      <c r="C15" s="8" t="s">
        <v>28</v>
      </c>
      <c r="D15" s="8" t="s">
        <v>41</v>
      </c>
      <c r="E15" s="8" t="s">
        <v>28</v>
      </c>
      <c r="F15" s="8" t="s">
        <v>3</v>
      </c>
      <c r="G15" s="8" t="s">
        <v>3</v>
      </c>
      <c r="H15" s="128"/>
      <c r="I15" s="8" t="s">
        <v>146</v>
      </c>
      <c r="J15" s="8" t="s">
        <v>53</v>
      </c>
      <c r="K15" s="37" t="s">
        <v>110</v>
      </c>
      <c r="L15" s="37" t="s">
        <v>163</v>
      </c>
      <c r="M15" s="32"/>
      <c r="N15" s="32"/>
      <c r="O15" s="31"/>
      <c r="P15" s="31"/>
      <c r="Q15" s="8" t="s">
        <v>1</v>
      </c>
      <c r="R15" s="69"/>
      <c r="S15" s="69"/>
      <c r="T15" s="69"/>
      <c r="U15" s="69"/>
      <c r="V15" s="69"/>
      <c r="W15" s="69"/>
      <c r="Y15" s="70">
        <v>2500</v>
      </c>
      <c r="Z15" s="70">
        <v>2500</v>
      </c>
      <c r="AA15" s="70">
        <v>2500</v>
      </c>
      <c r="AB15" s="70">
        <v>2500</v>
      </c>
      <c r="AC15" s="70">
        <v>2500</v>
      </c>
      <c r="AD15" s="70">
        <v>2500</v>
      </c>
      <c r="AE15" s="39">
        <v>15000</v>
      </c>
      <c r="AF15" s="39">
        <v>15000</v>
      </c>
    </row>
    <row r="16" spans="1:33" ht="28.5" x14ac:dyDescent="0.25">
      <c r="A16" s="8" t="s">
        <v>121</v>
      </c>
      <c r="B16" s="8" t="s">
        <v>168</v>
      </c>
      <c r="C16" s="8" t="s">
        <v>169</v>
      </c>
      <c r="D16" s="8" t="s">
        <v>41</v>
      </c>
      <c r="E16" s="8" t="s">
        <v>28</v>
      </c>
      <c r="F16" s="8" t="s">
        <v>16</v>
      </c>
      <c r="G16" s="8" t="s">
        <v>115</v>
      </c>
      <c r="I16" s="8" t="s">
        <v>148</v>
      </c>
      <c r="J16" s="8" t="s">
        <v>122</v>
      </c>
      <c r="K16" s="37" t="s">
        <v>111</v>
      </c>
      <c r="L16" s="37" t="s">
        <v>163</v>
      </c>
      <c r="M16" s="32"/>
      <c r="N16" s="32"/>
      <c r="O16" s="8"/>
      <c r="P16" s="8" t="s">
        <v>118</v>
      </c>
      <c r="Q16" s="8" t="s">
        <v>1</v>
      </c>
      <c r="R16" s="70"/>
      <c r="S16" s="70"/>
      <c r="T16" s="71"/>
      <c r="U16" s="71"/>
      <c r="V16" s="71"/>
      <c r="W16" s="71"/>
      <c r="X16" s="71"/>
      <c r="Y16" s="71">
        <v>5000</v>
      </c>
      <c r="Z16" s="71">
        <v>5000</v>
      </c>
      <c r="AA16" s="71">
        <v>5000</v>
      </c>
      <c r="AB16" s="71">
        <v>5000</v>
      </c>
      <c r="AC16" s="71">
        <v>5000</v>
      </c>
      <c r="AD16" s="71">
        <v>5000</v>
      </c>
      <c r="AE16" s="39">
        <f t="shared" ref="AE16" si="6">SUBTOTAL(9,S16:AD16)</f>
        <v>30000</v>
      </c>
      <c r="AF16" s="39">
        <f t="shared" ref="AF16" si="7">IF(Q16="Dólar",AE16*$AG$1,AE16)</f>
        <v>30000</v>
      </c>
    </row>
    <row r="17" spans="1:32" ht="15.75" x14ac:dyDescent="0.25">
      <c r="A17" s="8"/>
      <c r="B17" s="8"/>
      <c r="C17" s="8"/>
      <c r="D17" s="8"/>
      <c r="E17" s="8"/>
      <c r="F17" s="8"/>
      <c r="G17" s="8"/>
      <c r="H17" s="31"/>
      <c r="I17" s="8"/>
      <c r="J17" s="8"/>
      <c r="K17" s="37"/>
      <c r="L17" s="37"/>
      <c r="M17" s="32"/>
      <c r="N17" s="32"/>
      <c r="O17" s="31"/>
      <c r="P17" s="31"/>
      <c r="Q17" s="8"/>
      <c r="R17" s="31"/>
      <c r="S17" s="69"/>
      <c r="T17" s="70"/>
      <c r="U17" s="70"/>
      <c r="V17" s="70"/>
      <c r="W17" s="70"/>
      <c r="X17" s="70"/>
      <c r="Y17" s="69"/>
      <c r="Z17" s="69"/>
      <c r="AA17" s="69"/>
      <c r="AB17" s="69"/>
      <c r="AC17" s="69"/>
      <c r="AD17" s="69"/>
      <c r="AE17" s="39">
        <f t="shared" si="2"/>
        <v>0</v>
      </c>
      <c r="AF17" s="39">
        <f t="shared" si="3"/>
        <v>0</v>
      </c>
    </row>
    <row r="18" spans="1:32" ht="15.75" x14ac:dyDescent="0.25">
      <c r="A18" s="8"/>
      <c r="B18" s="8"/>
      <c r="C18" s="8"/>
      <c r="D18" s="8"/>
      <c r="E18" s="8"/>
      <c r="F18" s="8"/>
      <c r="G18" s="8"/>
      <c r="H18" s="31"/>
      <c r="I18" s="8"/>
      <c r="J18" s="8"/>
      <c r="K18" s="37"/>
      <c r="L18" s="37"/>
      <c r="M18" s="32"/>
      <c r="N18" s="32"/>
      <c r="O18" s="31"/>
      <c r="P18" s="31"/>
      <c r="Q18" s="8"/>
      <c r="R18" s="31"/>
      <c r="S18" s="69"/>
      <c r="T18" s="69"/>
      <c r="U18" s="69"/>
      <c r="V18" s="70"/>
      <c r="W18" s="70"/>
      <c r="X18" s="69"/>
      <c r="Y18" s="69"/>
      <c r="Z18" s="70"/>
      <c r="AA18" s="70"/>
      <c r="AB18" s="69"/>
      <c r="AC18" s="69"/>
      <c r="AD18" s="69"/>
      <c r="AE18" s="39">
        <f t="shared" si="2"/>
        <v>0</v>
      </c>
      <c r="AF18" s="39">
        <f t="shared" si="3"/>
        <v>0</v>
      </c>
    </row>
    <row r="19" spans="1:32" ht="15.75" x14ac:dyDescent="0.25">
      <c r="A19" s="8"/>
      <c r="B19" s="8"/>
      <c r="C19" s="8"/>
      <c r="D19" s="8"/>
      <c r="E19" s="8"/>
      <c r="F19" s="8"/>
      <c r="G19" s="8"/>
      <c r="H19" s="31"/>
      <c r="I19" s="8"/>
      <c r="J19" s="8"/>
      <c r="K19" s="37"/>
      <c r="L19" s="37"/>
      <c r="M19" s="32"/>
      <c r="N19" s="32"/>
      <c r="O19" s="31"/>
      <c r="P19" s="31"/>
      <c r="Q19" s="8"/>
      <c r="R19" s="31"/>
      <c r="S19" s="69"/>
      <c r="T19" s="69"/>
      <c r="U19" s="69"/>
      <c r="V19" s="69"/>
      <c r="W19" s="69"/>
      <c r="X19" s="69"/>
      <c r="Y19" s="69"/>
      <c r="Z19" s="69"/>
      <c r="AA19" s="69"/>
      <c r="AB19" s="70"/>
      <c r="AC19" s="70"/>
      <c r="AD19" s="70"/>
      <c r="AE19" s="39">
        <f t="shared" si="2"/>
        <v>0</v>
      </c>
      <c r="AF19" s="39">
        <f t="shared" si="3"/>
        <v>0</v>
      </c>
    </row>
    <row r="20" spans="1:32" ht="15.75" x14ac:dyDescent="0.25">
      <c r="A20" s="8"/>
      <c r="B20" s="8"/>
      <c r="C20" s="8"/>
      <c r="D20" s="8"/>
      <c r="E20" s="8"/>
      <c r="F20" s="8"/>
      <c r="G20" s="8"/>
      <c r="H20" s="31"/>
      <c r="I20" s="8"/>
      <c r="J20" s="8"/>
      <c r="K20" s="37"/>
      <c r="L20" s="37"/>
      <c r="M20" s="32"/>
      <c r="N20" s="8"/>
      <c r="O20" s="31"/>
      <c r="P20" s="31"/>
      <c r="Q20" s="8"/>
      <c r="R20" s="31"/>
      <c r="S20" s="69"/>
      <c r="T20" s="69"/>
      <c r="U20" s="69"/>
      <c r="V20" s="69"/>
      <c r="W20" s="69"/>
      <c r="X20" s="69"/>
      <c r="Y20" s="70"/>
      <c r="Z20" s="70"/>
      <c r="AA20" s="70"/>
      <c r="AB20" s="69"/>
      <c r="AC20" s="69"/>
      <c r="AD20" s="69"/>
      <c r="AE20" s="39">
        <f t="shared" si="2"/>
        <v>0</v>
      </c>
      <c r="AF20" s="39">
        <f t="shared" si="3"/>
        <v>0</v>
      </c>
    </row>
    <row r="21" spans="1:32" ht="15.75" x14ac:dyDescent="0.25">
      <c r="A21" s="8"/>
      <c r="B21" s="8"/>
      <c r="C21" s="8"/>
      <c r="D21" s="8"/>
      <c r="E21" s="8"/>
      <c r="F21" s="8"/>
      <c r="G21" s="31"/>
      <c r="H21" s="31"/>
      <c r="I21" s="8"/>
      <c r="J21" s="8"/>
      <c r="K21" s="37"/>
      <c r="L21" s="37"/>
      <c r="M21" s="32"/>
      <c r="N21" s="8"/>
      <c r="O21" s="31"/>
      <c r="P21" s="31"/>
      <c r="Q21" s="8"/>
      <c r="R21" s="31"/>
      <c r="S21" s="69"/>
      <c r="T21" s="69"/>
      <c r="U21" s="69"/>
      <c r="V21" s="69"/>
      <c r="W21" s="69"/>
      <c r="X21" s="69"/>
      <c r="Y21" s="70"/>
      <c r="Z21" s="70"/>
      <c r="AA21" s="70"/>
      <c r="AB21" s="69"/>
      <c r="AC21" s="69"/>
      <c r="AD21" s="69"/>
      <c r="AE21" s="39">
        <f t="shared" si="2"/>
        <v>0</v>
      </c>
      <c r="AF21" s="39">
        <f t="shared" si="3"/>
        <v>0</v>
      </c>
    </row>
    <row r="22" spans="1:32" ht="15.75" x14ac:dyDescent="0.25">
      <c r="A22" s="8"/>
      <c r="B22" s="8"/>
      <c r="C22" s="8"/>
      <c r="D22" s="8"/>
      <c r="E22" s="8"/>
      <c r="F22" s="8"/>
      <c r="G22" s="31"/>
      <c r="H22" s="31"/>
      <c r="I22" s="8"/>
      <c r="J22" s="8"/>
      <c r="K22" s="37"/>
      <c r="L22" s="37"/>
      <c r="M22" s="32"/>
      <c r="N22" s="32"/>
      <c r="O22" s="31"/>
      <c r="P22" s="8"/>
      <c r="Q22" s="8"/>
      <c r="R22" s="31"/>
      <c r="S22" s="69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39">
        <f t="shared" si="2"/>
        <v>0</v>
      </c>
      <c r="AF22" s="39">
        <f t="shared" si="3"/>
        <v>0</v>
      </c>
    </row>
    <row r="23" spans="1:32" ht="15.7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37"/>
      <c r="L23" s="37"/>
      <c r="M23" s="32"/>
      <c r="N23" s="32"/>
      <c r="O23" s="31"/>
      <c r="P23" s="31"/>
      <c r="Q23" s="8"/>
      <c r="R23" s="31"/>
      <c r="S23" s="69"/>
      <c r="T23" s="69"/>
      <c r="U23" s="69"/>
      <c r="V23" s="69"/>
      <c r="W23" s="69"/>
      <c r="X23" s="70"/>
      <c r="Y23" s="69"/>
      <c r="Z23" s="69"/>
      <c r="AA23" s="69"/>
      <c r="AB23" s="70"/>
      <c r="AC23" s="69"/>
      <c r="AD23" s="69"/>
      <c r="AE23" s="39">
        <f t="shared" si="2"/>
        <v>0</v>
      </c>
      <c r="AF23" s="39">
        <f t="shared" si="3"/>
        <v>0</v>
      </c>
    </row>
    <row r="24" spans="1:32" ht="15.7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37"/>
      <c r="L24" s="37"/>
      <c r="M24" s="32"/>
      <c r="N24" s="32"/>
      <c r="O24" s="31"/>
      <c r="P24" s="31"/>
      <c r="Q24" s="8"/>
      <c r="R24" s="31"/>
      <c r="S24" s="69"/>
      <c r="T24" s="69"/>
      <c r="U24" s="69"/>
      <c r="V24" s="69"/>
      <c r="W24" s="69"/>
      <c r="X24" s="69"/>
      <c r="Y24" s="70"/>
      <c r="Z24" s="70"/>
      <c r="AA24" s="70"/>
      <c r="AB24" s="70"/>
      <c r="AC24" s="70"/>
      <c r="AD24" s="70"/>
      <c r="AE24" s="39">
        <f t="shared" si="2"/>
        <v>0</v>
      </c>
      <c r="AF24" s="39">
        <f t="shared" si="3"/>
        <v>0</v>
      </c>
    </row>
    <row r="25" spans="1:32" ht="15.7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37"/>
      <c r="L25" s="37"/>
      <c r="M25" s="32"/>
      <c r="N25" s="32"/>
      <c r="O25" s="31"/>
      <c r="P25" s="31"/>
      <c r="Q25" s="34"/>
      <c r="R25" s="31"/>
      <c r="S25" s="69"/>
      <c r="T25" s="69"/>
      <c r="U25" s="69"/>
      <c r="V25" s="69"/>
      <c r="W25" s="70"/>
      <c r="X25" s="70"/>
      <c r="Y25" s="70"/>
      <c r="Z25" s="69"/>
      <c r="AA25" s="69"/>
      <c r="AB25" s="69"/>
      <c r="AC25" s="69"/>
      <c r="AD25" s="69"/>
      <c r="AE25" s="39">
        <f t="shared" si="2"/>
        <v>0</v>
      </c>
      <c r="AF25" s="39">
        <f t="shared" si="3"/>
        <v>0</v>
      </c>
    </row>
    <row r="26" spans="1:32" ht="15.75" x14ac:dyDescent="0.25">
      <c r="A26" s="8"/>
      <c r="B26" s="8"/>
      <c r="C26" s="8"/>
      <c r="D26" s="8"/>
      <c r="E26" s="8"/>
      <c r="F26" s="8"/>
      <c r="G26" s="8"/>
      <c r="H26" s="8"/>
      <c r="I26" s="8"/>
      <c r="J26" s="34"/>
      <c r="K26" s="37"/>
      <c r="L26" s="37"/>
      <c r="M26" s="32"/>
      <c r="N26" s="32"/>
      <c r="O26" s="34"/>
      <c r="P26" s="34"/>
      <c r="Q26" s="34"/>
      <c r="R26" s="35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39">
        <f t="shared" si="2"/>
        <v>0</v>
      </c>
      <c r="AF26" s="39">
        <f t="shared" si="3"/>
        <v>0</v>
      </c>
    </row>
    <row r="27" spans="1:32" s="10" customFormat="1" ht="16.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37"/>
      <c r="L27" s="37"/>
      <c r="M27" s="32"/>
      <c r="N27" s="32"/>
      <c r="O27" s="8"/>
      <c r="P27" s="8"/>
      <c r="Q27" s="8"/>
      <c r="R27" s="33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39"/>
      <c r="AF27" s="39"/>
    </row>
    <row r="28" spans="1:32" s="10" customFormat="1" ht="16.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37"/>
      <c r="L28" s="37"/>
      <c r="M28" s="32"/>
      <c r="N28" s="32"/>
      <c r="O28" s="8"/>
      <c r="P28" s="8"/>
      <c r="Q28" s="8"/>
      <c r="R28" s="33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39"/>
      <c r="AF28" s="39"/>
    </row>
    <row r="29" spans="1:32" ht="15.7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37"/>
      <c r="L29" s="37"/>
      <c r="M29" s="32"/>
      <c r="N29" s="32"/>
      <c r="O29" s="31"/>
      <c r="P29" s="31"/>
      <c r="Q29" s="8"/>
      <c r="R29" s="31"/>
      <c r="S29" s="69"/>
      <c r="T29" s="69"/>
      <c r="U29" s="69"/>
      <c r="V29" s="70"/>
      <c r="W29" s="70"/>
      <c r="X29" s="70"/>
      <c r="Y29" s="70"/>
      <c r="Z29" s="70"/>
      <c r="AA29" s="70"/>
      <c r="AB29" s="70"/>
      <c r="AC29" s="70"/>
      <c r="AD29" s="70"/>
      <c r="AE29" s="39"/>
      <c r="AF29" s="39"/>
    </row>
    <row r="30" spans="1:32" ht="15.7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37"/>
      <c r="L30" s="37"/>
      <c r="M30" s="32"/>
      <c r="N30" s="32"/>
      <c r="O30" s="31"/>
      <c r="P30" s="31"/>
      <c r="Q30" s="8"/>
      <c r="R30" s="31"/>
      <c r="S30" s="70"/>
      <c r="T30" s="70"/>
      <c r="U30" s="70"/>
      <c r="V30" s="70"/>
      <c r="W30" s="70"/>
      <c r="X30" s="70"/>
      <c r="Y30" s="70"/>
      <c r="Z30" s="69"/>
      <c r="AA30" s="69"/>
      <c r="AB30" s="69"/>
      <c r="AC30" s="69"/>
      <c r="AD30" s="69"/>
      <c r="AE30" s="39"/>
      <c r="AF30" s="39"/>
    </row>
    <row r="31" spans="1:32" ht="15.7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37"/>
      <c r="L31" s="37"/>
      <c r="M31" s="32"/>
      <c r="N31" s="32"/>
      <c r="O31" s="31"/>
      <c r="P31" s="31"/>
      <c r="Q31" s="8"/>
      <c r="R31" s="31"/>
      <c r="S31" s="70"/>
      <c r="T31" s="70"/>
      <c r="U31" s="70"/>
      <c r="V31" s="70"/>
      <c r="W31" s="70"/>
      <c r="X31" s="70"/>
      <c r="Y31" s="70"/>
      <c r="Z31" s="69"/>
      <c r="AA31" s="69"/>
      <c r="AB31" s="69"/>
      <c r="AC31" s="69"/>
      <c r="AD31" s="69"/>
      <c r="AE31" s="39"/>
      <c r="AF31" s="39"/>
    </row>
    <row r="32" spans="1:32" ht="15.75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37"/>
      <c r="L32" s="37"/>
      <c r="M32" s="32"/>
      <c r="N32" s="32"/>
      <c r="O32" s="31"/>
      <c r="P32" s="31"/>
      <c r="Q32" s="8"/>
      <c r="R32" s="31"/>
      <c r="S32" s="70"/>
      <c r="T32" s="70"/>
      <c r="U32" s="70"/>
      <c r="V32" s="70"/>
      <c r="W32" s="70"/>
      <c r="X32" s="70"/>
      <c r="Y32" s="70"/>
      <c r="Z32" s="69"/>
      <c r="AA32" s="69"/>
      <c r="AB32" s="69"/>
      <c r="AC32" s="69"/>
      <c r="AD32" s="69"/>
      <c r="AE32" s="39"/>
      <c r="AF32" s="39"/>
    </row>
    <row r="33" spans="1:32" ht="15.75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37"/>
      <c r="L33" s="37"/>
      <c r="M33" s="32"/>
      <c r="N33" s="32"/>
      <c r="O33" s="31"/>
      <c r="P33" s="31"/>
      <c r="Q33" s="8"/>
      <c r="R33" s="31"/>
      <c r="S33" s="70"/>
      <c r="T33" s="70"/>
      <c r="U33" s="70"/>
      <c r="V33" s="70"/>
      <c r="W33" s="70"/>
      <c r="X33" s="70"/>
      <c r="Y33" s="70"/>
      <c r="Z33" s="69"/>
      <c r="AA33" s="69"/>
      <c r="AB33" s="69"/>
      <c r="AC33" s="69"/>
      <c r="AD33" s="69"/>
      <c r="AE33" s="39"/>
      <c r="AF33" s="39"/>
    </row>
    <row r="34" spans="1:32" ht="15.75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37"/>
      <c r="L34" s="37"/>
      <c r="M34" s="32"/>
      <c r="N34" s="32"/>
      <c r="O34" s="31"/>
      <c r="P34" s="31"/>
      <c r="Q34" s="8"/>
      <c r="R34" s="31"/>
      <c r="S34" s="70"/>
      <c r="T34" s="70"/>
      <c r="U34" s="70"/>
      <c r="V34" s="70"/>
      <c r="W34" s="70"/>
      <c r="X34" s="70"/>
      <c r="Y34" s="70"/>
      <c r="Z34" s="69"/>
      <c r="AA34" s="69"/>
      <c r="AB34" s="69"/>
      <c r="AC34" s="69"/>
      <c r="AD34" s="69"/>
      <c r="AE34" s="39"/>
      <c r="AF34" s="39"/>
    </row>
    <row r="35" spans="1:32" ht="15.75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37"/>
      <c r="L35" s="37"/>
      <c r="M35" s="32"/>
      <c r="N35" s="32"/>
      <c r="O35" s="31"/>
      <c r="P35" s="31"/>
      <c r="Q35" s="8"/>
      <c r="R35" s="31"/>
      <c r="S35" s="70"/>
      <c r="T35" s="70"/>
      <c r="U35" s="70"/>
      <c r="V35" s="70"/>
      <c r="W35" s="70"/>
      <c r="X35" s="70"/>
      <c r="Y35" s="70"/>
      <c r="Z35" s="69"/>
      <c r="AA35" s="69"/>
      <c r="AB35" s="69"/>
      <c r="AC35" s="69"/>
      <c r="AD35" s="69"/>
      <c r="AE35" s="39"/>
      <c r="AF35" s="39"/>
    </row>
    <row r="36" spans="1:32" ht="15.75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37"/>
      <c r="L36" s="37"/>
      <c r="M36" s="32"/>
      <c r="N36" s="32"/>
      <c r="O36" s="31"/>
      <c r="P36" s="31"/>
      <c r="Q36" s="8"/>
      <c r="R36" s="31"/>
      <c r="S36" s="70"/>
      <c r="T36" s="70"/>
      <c r="U36" s="70"/>
      <c r="V36" s="70"/>
      <c r="W36" s="70"/>
      <c r="X36" s="70"/>
      <c r="Y36" s="70"/>
      <c r="Z36" s="69"/>
      <c r="AA36" s="69"/>
      <c r="AB36" s="69"/>
      <c r="AC36" s="69"/>
      <c r="AD36" s="69"/>
      <c r="AE36" s="39"/>
      <c r="AF36" s="39"/>
    </row>
    <row r="37" spans="1:32" ht="15.75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37"/>
      <c r="L37" s="37"/>
      <c r="M37" s="32"/>
      <c r="N37" s="32"/>
      <c r="O37" s="31"/>
      <c r="P37" s="31"/>
      <c r="Q37" s="8"/>
      <c r="R37" s="31"/>
      <c r="S37" s="70"/>
      <c r="T37" s="70"/>
      <c r="U37" s="70"/>
      <c r="V37" s="70"/>
      <c r="W37" s="70"/>
      <c r="X37" s="70"/>
      <c r="Y37" s="70"/>
      <c r="Z37" s="69"/>
      <c r="AA37" s="69"/>
      <c r="AB37" s="69"/>
      <c r="AC37" s="69"/>
      <c r="AD37" s="69"/>
      <c r="AE37" s="39"/>
      <c r="AF37" s="39"/>
    </row>
    <row r="38" spans="1:32" ht="15.75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37"/>
      <c r="L38" s="37"/>
      <c r="M38" s="32"/>
      <c r="N38" s="32"/>
      <c r="O38" s="31"/>
      <c r="P38" s="31"/>
      <c r="Q38" s="8"/>
      <c r="R38" s="31"/>
      <c r="S38" s="70"/>
      <c r="T38" s="70"/>
      <c r="U38" s="70"/>
      <c r="V38" s="70"/>
      <c r="W38" s="70"/>
      <c r="X38" s="70"/>
      <c r="Y38" s="70"/>
      <c r="Z38" s="69"/>
      <c r="AA38" s="69"/>
      <c r="AB38" s="69"/>
      <c r="AC38" s="69"/>
      <c r="AD38" s="69"/>
      <c r="AE38" s="39"/>
      <c r="AF38" s="39"/>
    </row>
    <row r="39" spans="1:32" ht="15.75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37"/>
      <c r="L39" s="37"/>
      <c r="M39" s="32"/>
      <c r="N39" s="32"/>
      <c r="O39" s="31"/>
      <c r="P39" s="31"/>
      <c r="Q39" s="8"/>
      <c r="R39" s="31"/>
      <c r="S39" s="70"/>
      <c r="T39" s="70"/>
      <c r="U39" s="70"/>
      <c r="V39" s="70"/>
      <c r="W39" s="70"/>
      <c r="X39" s="70"/>
      <c r="Y39" s="70"/>
      <c r="Z39" s="69"/>
      <c r="AA39" s="69"/>
      <c r="AB39" s="69"/>
      <c r="AC39" s="69"/>
      <c r="AD39" s="69"/>
      <c r="AE39" s="39"/>
      <c r="AF39" s="39"/>
    </row>
  </sheetData>
  <autoFilter ref="A2:AG32" xr:uid="{92810FC5-C8DB-4F36-8354-CE6F70A11E8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529CC-822D-462D-966D-9D42F6E2CE05}">
  <dimension ref="A3:O83"/>
  <sheetViews>
    <sheetView topLeftCell="B67" workbookViewId="0">
      <selection activeCell="M83" sqref="M83"/>
    </sheetView>
  </sheetViews>
  <sheetFormatPr baseColWidth="10" defaultRowHeight="15" x14ac:dyDescent="0.25"/>
  <cols>
    <col min="1" max="1" width="15.28515625" customWidth="1"/>
    <col min="14" max="14" width="13.5703125" customWidth="1"/>
  </cols>
  <sheetData>
    <row r="3" spans="1:14" x14ac:dyDescent="0.25">
      <c r="A3" t="s">
        <v>127</v>
      </c>
      <c r="B3">
        <v>109</v>
      </c>
      <c r="C3">
        <v>4</v>
      </c>
      <c r="D3">
        <f>B3*C3</f>
        <v>436</v>
      </c>
    </row>
    <row r="8" spans="1:14" x14ac:dyDescent="0.25">
      <c r="A8" t="s">
        <v>130</v>
      </c>
    </row>
    <row r="15" spans="1:14" x14ac:dyDescent="0.25">
      <c r="L15">
        <v>3</v>
      </c>
      <c r="M15">
        <v>1485</v>
      </c>
    </row>
    <row r="16" spans="1:14" x14ac:dyDescent="0.25">
      <c r="L16">
        <v>1</v>
      </c>
      <c r="M16" t="s">
        <v>129</v>
      </c>
      <c r="N16">
        <v>500</v>
      </c>
    </row>
    <row r="17" spans="1:14" x14ac:dyDescent="0.25">
      <c r="L17">
        <v>5</v>
      </c>
      <c r="N17">
        <f>N16*L17</f>
        <v>2500</v>
      </c>
    </row>
    <row r="19" spans="1:14" ht="15.75" thickBot="1" x14ac:dyDescent="0.3">
      <c r="A19" s="82"/>
    </row>
    <row r="20" spans="1:14" ht="15.75" thickBot="1" x14ac:dyDescent="0.3">
      <c r="A20" s="83"/>
      <c r="B20" s="84" t="s">
        <v>207</v>
      </c>
    </row>
    <row r="21" spans="1:14" ht="16.5" thickTop="1" thickBot="1" x14ac:dyDescent="0.3">
      <c r="A21" s="85" t="s">
        <v>208</v>
      </c>
      <c r="B21" s="86">
        <v>5000</v>
      </c>
    </row>
    <row r="22" spans="1:14" ht="15.75" thickBot="1" x14ac:dyDescent="0.3">
      <c r="A22" s="85" t="s">
        <v>209</v>
      </c>
      <c r="B22" s="86">
        <v>270</v>
      </c>
      <c r="C22">
        <f>B22/4</f>
        <v>67.5</v>
      </c>
    </row>
    <row r="23" spans="1:14" ht="15.75" thickBot="1" x14ac:dyDescent="0.3">
      <c r="A23" s="85" t="s">
        <v>210</v>
      </c>
      <c r="B23" s="86">
        <v>232</v>
      </c>
      <c r="C23">
        <f>B23/4</f>
        <v>58</v>
      </c>
    </row>
    <row r="24" spans="1:14" ht="15.75" thickBot="1" x14ac:dyDescent="0.3">
      <c r="A24" s="82"/>
    </row>
    <row r="25" spans="1:14" ht="15.75" thickBot="1" x14ac:dyDescent="0.3">
      <c r="A25" s="87" t="s">
        <v>211</v>
      </c>
      <c r="B25" s="84" t="s">
        <v>208</v>
      </c>
      <c r="C25" s="84" t="s">
        <v>212</v>
      </c>
      <c r="D25" s="84" t="s">
        <v>213</v>
      </c>
      <c r="E25" s="84" t="s">
        <v>207</v>
      </c>
      <c r="F25" s="84" t="s">
        <v>214</v>
      </c>
    </row>
    <row r="26" spans="1:14" ht="16.5" thickTop="1" thickBot="1" x14ac:dyDescent="0.3">
      <c r="A26" s="85" t="s">
        <v>215</v>
      </c>
      <c r="B26" s="88" t="s">
        <v>216</v>
      </c>
      <c r="C26" s="89"/>
      <c r="D26" s="89"/>
      <c r="E26" s="86">
        <v>5000</v>
      </c>
      <c r="F26" s="90" t="s">
        <v>217</v>
      </c>
    </row>
    <row r="27" spans="1:14" ht="15.75" thickBot="1" x14ac:dyDescent="0.3">
      <c r="A27" s="85" t="s">
        <v>218</v>
      </c>
      <c r="B27" s="89"/>
      <c r="C27" s="88" t="s">
        <v>216</v>
      </c>
      <c r="D27" s="88" t="s">
        <v>216</v>
      </c>
      <c r="E27" s="86">
        <v>502</v>
      </c>
      <c r="F27" s="90" t="s">
        <v>219</v>
      </c>
    </row>
    <row r="28" spans="1:14" ht="15.75" thickBot="1" x14ac:dyDescent="0.3">
      <c r="A28" s="85" t="s">
        <v>220</v>
      </c>
      <c r="B28" s="88" t="s">
        <v>216</v>
      </c>
      <c r="C28" s="89"/>
      <c r="D28" s="89"/>
      <c r="E28" s="86">
        <v>5000</v>
      </c>
      <c r="F28" s="90" t="s">
        <v>221</v>
      </c>
    </row>
    <row r="29" spans="1:14" ht="15.75" thickBot="1" x14ac:dyDescent="0.3">
      <c r="A29" s="85" t="s">
        <v>222</v>
      </c>
      <c r="B29" s="89"/>
      <c r="C29" s="89"/>
      <c r="D29" s="88" t="s">
        <v>216</v>
      </c>
      <c r="E29" s="94">
        <v>232</v>
      </c>
      <c r="F29" s="90" t="s">
        <v>223</v>
      </c>
    </row>
    <row r="30" spans="1:14" ht="15.75" thickBot="1" x14ac:dyDescent="0.3">
      <c r="A30" s="85" t="s">
        <v>224</v>
      </c>
      <c r="B30" s="89"/>
      <c r="C30" s="88" t="s">
        <v>216</v>
      </c>
      <c r="D30" s="89"/>
      <c r="E30" s="86">
        <v>270</v>
      </c>
      <c r="F30" s="90" t="s">
        <v>225</v>
      </c>
    </row>
    <row r="31" spans="1:14" ht="15.75" thickBot="1" x14ac:dyDescent="0.3">
      <c r="A31" s="85" t="s">
        <v>226</v>
      </c>
      <c r="B31" s="89"/>
      <c r="C31" s="89"/>
      <c r="D31" s="88" t="s">
        <v>216</v>
      </c>
      <c r="E31" s="94">
        <v>232</v>
      </c>
      <c r="F31" s="90" t="s">
        <v>223</v>
      </c>
    </row>
    <row r="32" spans="1:14" ht="15.75" thickBot="1" x14ac:dyDescent="0.3">
      <c r="A32" s="85" t="s">
        <v>227</v>
      </c>
      <c r="B32" s="88" t="s">
        <v>216</v>
      </c>
      <c r="C32" s="88" t="s">
        <v>216</v>
      </c>
      <c r="D32" s="88" t="s">
        <v>216</v>
      </c>
      <c r="E32" s="86">
        <v>5502</v>
      </c>
      <c r="F32" s="90" t="s">
        <v>228</v>
      </c>
    </row>
    <row r="33" spans="1:6" ht="15.75" thickBot="1" x14ac:dyDescent="0.3">
      <c r="A33" s="91"/>
      <c r="B33" s="89"/>
      <c r="C33" s="89"/>
      <c r="D33" s="89"/>
      <c r="E33" s="92">
        <v>16738</v>
      </c>
      <c r="F33" s="89"/>
    </row>
    <row r="34" spans="1:6" x14ac:dyDescent="0.25">
      <c r="A34" s="82"/>
      <c r="B34">
        <f>900*3</f>
        <v>2700</v>
      </c>
      <c r="C34">
        <f>70*3</f>
        <v>210</v>
      </c>
      <c r="D34">
        <f>60*4</f>
        <v>240</v>
      </c>
    </row>
    <row r="35" spans="1:6" ht="15.75" thickBot="1" x14ac:dyDescent="0.3">
      <c r="A35" s="82"/>
    </row>
    <row r="36" spans="1:6" ht="15.75" thickBot="1" x14ac:dyDescent="0.3">
      <c r="A36" s="87" t="s">
        <v>229</v>
      </c>
      <c r="B36" s="93"/>
      <c r="C36" s="93"/>
      <c r="D36" s="93"/>
      <c r="E36" s="93"/>
      <c r="F36" s="93"/>
    </row>
    <row r="37" spans="1:6" ht="16.5" thickTop="1" thickBot="1" x14ac:dyDescent="0.3">
      <c r="A37" s="85" t="s">
        <v>230</v>
      </c>
      <c r="B37" s="89"/>
      <c r="C37" s="89"/>
      <c r="D37" s="89"/>
      <c r="E37" s="86">
        <v>280</v>
      </c>
      <c r="F37" s="90" t="s">
        <v>231</v>
      </c>
    </row>
    <row r="38" spans="1:6" ht="15.75" thickBot="1" x14ac:dyDescent="0.3">
      <c r="A38" s="222" t="s">
        <v>232</v>
      </c>
      <c r="B38" s="223"/>
      <c r="C38" s="89"/>
      <c r="D38" s="89"/>
      <c r="E38" s="86">
        <v>960</v>
      </c>
      <c r="F38" s="90" t="s">
        <v>233</v>
      </c>
    </row>
    <row r="39" spans="1:6" ht="15.75" thickBot="1" x14ac:dyDescent="0.3">
      <c r="A39" s="85" t="s">
        <v>234</v>
      </c>
      <c r="B39" s="89"/>
      <c r="C39" s="89"/>
      <c r="D39" s="89"/>
      <c r="E39" s="86">
        <v>25</v>
      </c>
      <c r="F39" s="90" t="s">
        <v>235</v>
      </c>
    </row>
    <row r="40" spans="1:6" ht="15.75" thickBot="1" x14ac:dyDescent="0.3">
      <c r="A40" s="85" t="s">
        <v>236</v>
      </c>
      <c r="B40" s="89"/>
      <c r="C40" s="89"/>
      <c r="D40" s="89"/>
      <c r="E40" s="86">
        <v>25</v>
      </c>
      <c r="F40" s="90" t="s">
        <v>235</v>
      </c>
    </row>
    <row r="41" spans="1:6" ht="15.75" thickBot="1" x14ac:dyDescent="0.3">
      <c r="A41" s="91"/>
      <c r="B41" s="89"/>
      <c r="C41" s="89"/>
      <c r="D41" s="89"/>
      <c r="E41" s="92">
        <v>1290</v>
      </c>
      <c r="F41" s="89"/>
    </row>
    <row r="42" spans="1:6" x14ac:dyDescent="0.25">
      <c r="A42" s="82"/>
      <c r="E42" t="s">
        <v>237</v>
      </c>
    </row>
    <row r="43" spans="1:6" x14ac:dyDescent="0.25">
      <c r="A43" s="82"/>
    </row>
    <row r="44" spans="1:6" x14ac:dyDescent="0.25">
      <c r="A44" t="s">
        <v>251</v>
      </c>
    </row>
    <row r="45" spans="1:6" x14ac:dyDescent="0.25">
      <c r="A45" t="s">
        <v>252</v>
      </c>
      <c r="B45">
        <v>2</v>
      </c>
      <c r="C45" t="s">
        <v>253</v>
      </c>
      <c r="D45" t="s">
        <v>254</v>
      </c>
    </row>
    <row r="46" spans="1:6" x14ac:dyDescent="0.25">
      <c r="A46" t="s">
        <v>255</v>
      </c>
      <c r="B46">
        <v>2</v>
      </c>
    </row>
    <row r="49" spans="1:4" s="104" customFormat="1" ht="39.6" customHeight="1" x14ac:dyDescent="0.25">
      <c r="A49" s="224" t="s">
        <v>262</v>
      </c>
      <c r="B49" s="224"/>
      <c r="C49" s="224"/>
      <c r="D49" s="224"/>
    </row>
    <row r="50" spans="1:4" s="104" customFormat="1" ht="39.6" customHeight="1" x14ac:dyDescent="0.25">
      <c r="A50" s="224" t="s">
        <v>263</v>
      </c>
      <c r="B50" s="224"/>
      <c r="C50" s="224"/>
      <c r="D50" s="224"/>
    </row>
    <row r="51" spans="1:4" s="104" customFormat="1" ht="39.6" customHeight="1" x14ac:dyDescent="0.25">
      <c r="A51" s="224" t="s">
        <v>264</v>
      </c>
      <c r="B51" s="224"/>
      <c r="C51" s="224"/>
      <c r="D51" s="224"/>
    </row>
    <row r="52" spans="1:4" x14ac:dyDescent="0.25">
      <c r="A52" s="225"/>
      <c r="B52" s="225"/>
      <c r="C52" s="225"/>
      <c r="D52" s="225"/>
    </row>
    <row r="54" spans="1:4" x14ac:dyDescent="0.25">
      <c r="A54" t="s">
        <v>268</v>
      </c>
    </row>
    <row r="64" spans="1:4" x14ac:dyDescent="0.25">
      <c r="C64" t="s">
        <v>270</v>
      </c>
      <c r="D64">
        <v>4629</v>
      </c>
    </row>
    <row r="65" spans="1:15" x14ac:dyDescent="0.25">
      <c r="C65" t="s">
        <v>269</v>
      </c>
      <c r="D65">
        <v>944</v>
      </c>
    </row>
    <row r="66" spans="1:15" x14ac:dyDescent="0.25">
      <c r="D66" s="105">
        <f>SUM(D64:D65)</f>
        <v>5573</v>
      </c>
    </row>
    <row r="67" spans="1:15" x14ac:dyDescent="0.25">
      <c r="A67" t="s">
        <v>335</v>
      </c>
    </row>
    <row r="72" spans="1:15" x14ac:dyDescent="0.25">
      <c r="I72" s="145" t="s">
        <v>338</v>
      </c>
      <c r="J72" s="145" t="s">
        <v>336</v>
      </c>
      <c r="K72" s="145" t="s">
        <v>337</v>
      </c>
      <c r="L72" s="145" t="s">
        <v>339</v>
      </c>
      <c r="M72" s="145" t="s">
        <v>289</v>
      </c>
      <c r="N72" s="145" t="s">
        <v>340</v>
      </c>
      <c r="O72" s="127" t="s">
        <v>341</v>
      </c>
    </row>
    <row r="73" spans="1:15" x14ac:dyDescent="0.25">
      <c r="I73">
        <v>1100</v>
      </c>
      <c r="J73">
        <v>15</v>
      </c>
      <c r="K73" s="146">
        <f>I73*J73</f>
        <v>16500</v>
      </c>
      <c r="L73">
        <f>K73*0.18</f>
        <v>2970</v>
      </c>
      <c r="M73" s="147">
        <f>K73+L73</f>
        <v>19470</v>
      </c>
      <c r="N73" s="65">
        <v>4</v>
      </c>
    </row>
    <row r="75" spans="1:15" x14ac:dyDescent="0.25">
      <c r="K75" s="146"/>
    </row>
    <row r="76" spans="1:15" x14ac:dyDescent="0.25">
      <c r="I76" s="145" t="s">
        <v>342</v>
      </c>
      <c r="J76" s="145" t="s">
        <v>339</v>
      </c>
      <c r="K76" s="145" t="s">
        <v>337</v>
      </c>
      <c r="L76" s="145" t="s">
        <v>343</v>
      </c>
      <c r="M76" s="145" t="s">
        <v>289</v>
      </c>
      <c r="N76" s="145" t="s">
        <v>340</v>
      </c>
      <c r="O76" s="127" t="s">
        <v>341</v>
      </c>
    </row>
    <row r="77" spans="1:15" x14ac:dyDescent="0.25">
      <c r="I77">
        <v>482</v>
      </c>
      <c r="J77">
        <f>I77*0.18</f>
        <v>86.759999999999991</v>
      </c>
      <c r="K77" s="146">
        <f>I77+J77</f>
        <v>568.76</v>
      </c>
      <c r="L77">
        <v>36</v>
      </c>
      <c r="M77" s="147">
        <f>K77*L77</f>
        <v>20475.36</v>
      </c>
      <c r="N77" s="65">
        <v>3</v>
      </c>
      <c r="O77" t="s">
        <v>344</v>
      </c>
    </row>
    <row r="78" spans="1:15" x14ac:dyDescent="0.25">
      <c r="I78">
        <v>482</v>
      </c>
      <c r="J78">
        <f>I78*0.18</f>
        <v>86.759999999999991</v>
      </c>
      <c r="K78" s="146">
        <f>I78+J78</f>
        <v>568.76</v>
      </c>
      <c r="L78">
        <v>12</v>
      </c>
      <c r="M78" s="147">
        <f>K78*L78</f>
        <v>6825.12</v>
      </c>
      <c r="N78" s="65">
        <v>1</v>
      </c>
    </row>
    <row r="79" spans="1:15" x14ac:dyDescent="0.25">
      <c r="M79" s="146">
        <f>SUM(M77:M78)</f>
        <v>27300.48</v>
      </c>
    </row>
    <row r="81" spans="12:13" x14ac:dyDescent="0.25">
      <c r="L81" t="s">
        <v>345</v>
      </c>
      <c r="M81" s="146">
        <f>M79-M73</f>
        <v>7830.48</v>
      </c>
    </row>
    <row r="82" spans="12:13" x14ac:dyDescent="0.25">
      <c r="L82" t="s">
        <v>346</v>
      </c>
      <c r="M82">
        <f>150*J73</f>
        <v>2250</v>
      </c>
    </row>
    <row r="83" spans="12:13" x14ac:dyDescent="0.25">
      <c r="M83" s="147">
        <f>SUM(M81:M82)</f>
        <v>10080.48</v>
      </c>
    </row>
  </sheetData>
  <mergeCells count="5">
    <mergeCell ref="A38:B38"/>
    <mergeCell ref="A49:D49"/>
    <mergeCell ref="A50:D50"/>
    <mergeCell ref="A51:D51"/>
    <mergeCell ref="A52:D5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D1786-B335-41B3-B793-BFFAE080D01D}">
  <dimension ref="L2:Q37"/>
  <sheetViews>
    <sheetView topLeftCell="A7" zoomScale="55" zoomScaleNormal="55" workbookViewId="0">
      <selection activeCell="O38" sqref="O38"/>
    </sheetView>
  </sheetViews>
  <sheetFormatPr baseColWidth="10" defaultRowHeight="15" x14ac:dyDescent="0.25"/>
  <sheetData>
    <row r="2" spans="12:17" x14ac:dyDescent="0.25">
      <c r="L2" t="s">
        <v>271</v>
      </c>
    </row>
    <row r="3" spans="12:17" x14ac:dyDescent="0.25">
      <c r="Q3" t="s">
        <v>272</v>
      </c>
    </row>
    <row r="4" spans="12:17" x14ac:dyDescent="0.25">
      <c r="Q4" t="s">
        <v>273</v>
      </c>
    </row>
    <row r="6" spans="12:17" x14ac:dyDescent="0.25">
      <c r="Q6" t="s">
        <v>274</v>
      </c>
    </row>
    <row r="7" spans="12:17" x14ac:dyDescent="0.25">
      <c r="Q7" t="s">
        <v>275</v>
      </c>
    </row>
    <row r="35" spans="12:13" x14ac:dyDescent="0.25">
      <c r="M35">
        <v>4629</v>
      </c>
    </row>
    <row r="36" spans="12:13" x14ac:dyDescent="0.25">
      <c r="L36" t="s">
        <v>269</v>
      </c>
      <c r="M36">
        <v>944</v>
      </c>
    </row>
    <row r="37" spans="12:13" x14ac:dyDescent="0.25">
      <c r="M37" s="105">
        <f>SUM(M35:M36)</f>
        <v>5573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9C26B-A952-4D53-9411-F58D8F7A4108}">
  <dimension ref="A2:AF3"/>
  <sheetViews>
    <sheetView workbookViewId="0">
      <selection activeCell="G11" sqref="G11"/>
    </sheetView>
  </sheetViews>
  <sheetFormatPr baseColWidth="10" defaultRowHeight="15" x14ac:dyDescent="0.25"/>
  <sheetData>
    <row r="2" spans="1:32" s="7" customFormat="1" ht="69.75" x14ac:dyDescent="0.25">
      <c r="A2" s="2" t="s">
        <v>49</v>
      </c>
      <c r="B2" s="64" t="s">
        <v>43</v>
      </c>
      <c r="C2" s="64" t="s">
        <v>158</v>
      </c>
      <c r="D2" s="64" t="s">
        <v>29</v>
      </c>
      <c r="E2" s="64" t="s">
        <v>47</v>
      </c>
      <c r="F2" s="2" t="s">
        <v>46</v>
      </c>
      <c r="G2" s="2" t="s">
        <v>24</v>
      </c>
      <c r="H2" s="2" t="s">
        <v>23</v>
      </c>
      <c r="I2" s="2" t="s">
        <v>48</v>
      </c>
      <c r="J2" s="3" t="s">
        <v>55</v>
      </c>
      <c r="K2" s="60" t="s">
        <v>30</v>
      </c>
      <c r="L2" s="60" t="s">
        <v>160</v>
      </c>
      <c r="M2" s="3" t="s">
        <v>31</v>
      </c>
      <c r="N2" s="3" t="s">
        <v>51</v>
      </c>
      <c r="O2" s="2" t="s">
        <v>26</v>
      </c>
      <c r="P2" s="2" t="s">
        <v>22</v>
      </c>
      <c r="Q2" s="4" t="s">
        <v>21</v>
      </c>
      <c r="R2" s="4" t="s">
        <v>70</v>
      </c>
      <c r="S2" s="5">
        <v>44562</v>
      </c>
      <c r="T2" s="5">
        <v>44593</v>
      </c>
      <c r="U2" s="5">
        <v>44621</v>
      </c>
      <c r="V2" s="5">
        <v>44652</v>
      </c>
      <c r="W2" s="5">
        <v>44682</v>
      </c>
      <c r="X2" s="5">
        <v>44713</v>
      </c>
      <c r="Y2" s="5">
        <v>44743</v>
      </c>
      <c r="Z2" s="5">
        <v>44774</v>
      </c>
      <c r="AA2" s="5">
        <v>44805</v>
      </c>
      <c r="AB2" s="5">
        <v>44835</v>
      </c>
      <c r="AC2" s="5">
        <v>44866</v>
      </c>
      <c r="AD2" s="5">
        <v>44896</v>
      </c>
      <c r="AE2" s="6" t="s">
        <v>32</v>
      </c>
      <c r="AF2" s="6" t="s">
        <v>140</v>
      </c>
    </row>
    <row r="3" spans="1:32" s="9" customFormat="1" ht="42.75" x14ac:dyDescent="0.25">
      <c r="A3" s="68" t="s">
        <v>100</v>
      </c>
      <c r="B3" s="68" t="s">
        <v>42</v>
      </c>
      <c r="C3" s="68" t="s">
        <v>27</v>
      </c>
      <c r="D3" s="68" t="s">
        <v>41</v>
      </c>
      <c r="E3" s="8" t="s">
        <v>27</v>
      </c>
      <c r="F3" s="8" t="s">
        <v>17</v>
      </c>
      <c r="G3" s="8"/>
      <c r="H3" s="31"/>
      <c r="I3" s="8" t="s">
        <v>42</v>
      </c>
      <c r="J3" s="8"/>
      <c r="K3" s="37" t="s">
        <v>109</v>
      </c>
      <c r="L3" s="37" t="s">
        <v>162</v>
      </c>
      <c r="M3" s="32"/>
      <c r="N3" s="32"/>
      <c r="O3" s="31"/>
      <c r="P3" s="31"/>
      <c r="Q3" s="8" t="s">
        <v>1</v>
      </c>
      <c r="R3" s="31"/>
      <c r="S3" s="38"/>
      <c r="T3" s="38"/>
      <c r="U3" s="30">
        <v>2000</v>
      </c>
      <c r="V3" s="30">
        <v>2000</v>
      </c>
      <c r="W3" s="38"/>
      <c r="X3" s="38"/>
      <c r="Y3" s="38"/>
      <c r="Z3" s="38"/>
      <c r="AA3" s="38"/>
      <c r="AB3" s="38"/>
      <c r="AC3" s="38"/>
      <c r="AD3" s="38"/>
      <c r="AE3" s="39">
        <f t="shared" ref="AE3" si="0">SUBTOTAL(9,S3:AD3)</f>
        <v>4000</v>
      </c>
      <c r="AF3" s="39">
        <f t="shared" ref="AF3" si="1">IF(Q3="Dólar",AE3*$AG$1,AE3)</f>
        <v>4000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A2302-24DD-4536-9A29-38761F30EC08}">
  <dimension ref="A2:O33"/>
  <sheetViews>
    <sheetView topLeftCell="A10" zoomScale="70" zoomScaleNormal="70" workbookViewId="0">
      <selection activeCell="V17" sqref="V17"/>
    </sheetView>
  </sheetViews>
  <sheetFormatPr baseColWidth="10" defaultRowHeight="15" x14ac:dyDescent="0.25"/>
  <sheetData>
    <row r="2" spans="13:15" x14ac:dyDescent="0.25">
      <c r="M2">
        <v>190</v>
      </c>
      <c r="N2">
        <f>60/M2</f>
        <v>0.31578947368421051</v>
      </c>
      <c r="O2">
        <f>N2*4</f>
        <v>1.263157894736842</v>
      </c>
    </row>
    <row r="28" spans="1:7" x14ac:dyDescent="0.25">
      <c r="A28" t="s">
        <v>299</v>
      </c>
      <c r="C28" t="s">
        <v>304</v>
      </c>
      <c r="D28" t="s">
        <v>305</v>
      </c>
    </row>
    <row r="29" spans="1:7" x14ac:dyDescent="0.25">
      <c r="B29" t="s">
        <v>302</v>
      </c>
      <c r="C29" s="65" t="s">
        <v>307</v>
      </c>
      <c r="D29" s="65" t="s">
        <v>303</v>
      </c>
      <c r="E29" s="65" t="s">
        <v>306</v>
      </c>
      <c r="F29" s="65" t="s">
        <v>307</v>
      </c>
      <c r="G29" s="65" t="s">
        <v>308</v>
      </c>
    </row>
    <row r="30" spans="1:7" x14ac:dyDescent="0.25">
      <c r="A30" t="s">
        <v>300</v>
      </c>
      <c r="B30">
        <v>80</v>
      </c>
      <c r="D30" s="65">
        <v>4.9000000000000004</v>
      </c>
      <c r="E30" s="65">
        <f>B30*D30</f>
        <v>392</v>
      </c>
      <c r="F30" s="126">
        <f>E30*4.1</f>
        <v>1607.1999999999998</v>
      </c>
      <c r="G30" s="126">
        <f>F30*12</f>
        <v>19286.399999999998</v>
      </c>
    </row>
    <row r="31" spans="1:7" x14ac:dyDescent="0.25">
      <c r="A31" t="s">
        <v>166</v>
      </c>
      <c r="B31">
        <v>350</v>
      </c>
      <c r="D31" s="65"/>
      <c r="E31" s="65"/>
      <c r="F31" s="126"/>
      <c r="G31" s="126"/>
    </row>
    <row r="32" spans="1:7" x14ac:dyDescent="0.25">
      <c r="A32" t="s">
        <v>301</v>
      </c>
      <c r="B32">
        <v>80</v>
      </c>
      <c r="D32" s="65"/>
      <c r="E32" s="65"/>
      <c r="F32" s="126"/>
      <c r="G32" s="126"/>
    </row>
    <row r="33" spans="2:4" x14ac:dyDescent="0.25">
      <c r="B33" s="127">
        <f>SUM(B30:B32)</f>
        <v>510</v>
      </c>
      <c r="C33" s="127">
        <v>740</v>
      </c>
      <c r="D33" t="s">
        <v>332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EBE5B-633A-41A4-8F89-25018C928AA9}">
  <dimension ref="A1:AY32"/>
  <sheetViews>
    <sheetView view="pageLayout" zoomScaleNormal="100" workbookViewId="0">
      <selection activeCell="I5" sqref="I5"/>
    </sheetView>
  </sheetViews>
  <sheetFormatPr baseColWidth="10" defaultRowHeight="15" x14ac:dyDescent="0.25"/>
  <cols>
    <col min="1" max="1" width="29.7109375" customWidth="1"/>
    <col min="2" max="2" width="3.28515625" style="65" customWidth="1"/>
    <col min="3" max="3" width="1.85546875" style="65" customWidth="1"/>
    <col min="4" max="51" width="2.28515625" customWidth="1"/>
  </cols>
  <sheetData>
    <row r="1" spans="1:51" x14ac:dyDescent="0.25">
      <c r="D1" s="230" t="s">
        <v>108</v>
      </c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2"/>
      <c r="P1" s="230" t="s">
        <v>109</v>
      </c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2"/>
      <c r="AB1" s="230" t="s">
        <v>110</v>
      </c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2"/>
      <c r="AN1" s="230" t="s">
        <v>111</v>
      </c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2"/>
    </row>
    <row r="2" spans="1:51" x14ac:dyDescent="0.25">
      <c r="D2" s="233" t="s">
        <v>391</v>
      </c>
      <c r="E2" s="228"/>
      <c r="F2" s="228"/>
      <c r="G2" s="234"/>
      <c r="H2" s="227" t="s">
        <v>390</v>
      </c>
      <c r="I2" s="228"/>
      <c r="J2" s="228"/>
      <c r="K2" s="234"/>
      <c r="L2" s="227" t="s">
        <v>389</v>
      </c>
      <c r="M2" s="228"/>
      <c r="N2" s="228"/>
      <c r="O2" s="229"/>
      <c r="P2" s="233" t="s">
        <v>388</v>
      </c>
      <c r="Q2" s="228"/>
      <c r="R2" s="228"/>
      <c r="S2" s="234"/>
      <c r="T2" s="227" t="s">
        <v>387</v>
      </c>
      <c r="U2" s="228"/>
      <c r="V2" s="228"/>
      <c r="W2" s="234"/>
      <c r="X2" s="227" t="s">
        <v>386</v>
      </c>
      <c r="Y2" s="228"/>
      <c r="Z2" s="228"/>
      <c r="AA2" s="229"/>
      <c r="AB2" s="233" t="s">
        <v>385</v>
      </c>
      <c r="AC2" s="228"/>
      <c r="AD2" s="228"/>
      <c r="AE2" s="234"/>
      <c r="AF2" s="227" t="s">
        <v>384</v>
      </c>
      <c r="AG2" s="228"/>
      <c r="AH2" s="228"/>
      <c r="AI2" s="234"/>
      <c r="AJ2" s="227" t="s">
        <v>383</v>
      </c>
      <c r="AK2" s="228"/>
      <c r="AL2" s="228"/>
      <c r="AM2" s="229"/>
      <c r="AN2" s="233" t="s">
        <v>382</v>
      </c>
      <c r="AO2" s="228"/>
      <c r="AP2" s="228"/>
      <c r="AQ2" s="234"/>
      <c r="AR2" s="227" t="s">
        <v>381</v>
      </c>
      <c r="AS2" s="228"/>
      <c r="AT2" s="228"/>
      <c r="AU2" s="234"/>
      <c r="AV2" s="227" t="s">
        <v>380</v>
      </c>
      <c r="AW2" s="228"/>
      <c r="AX2" s="228"/>
      <c r="AY2" s="229"/>
    </row>
    <row r="3" spans="1:51" ht="15.75" thickBot="1" x14ac:dyDescent="0.3">
      <c r="D3" s="187">
        <v>1</v>
      </c>
      <c r="E3" s="186">
        <f>D3+1</f>
        <v>2</v>
      </c>
      <c r="F3" s="186">
        <f>E3+1</f>
        <v>3</v>
      </c>
      <c r="G3" s="186">
        <f>F3+1</f>
        <v>4</v>
      </c>
      <c r="H3" s="186">
        <v>1</v>
      </c>
      <c r="I3" s="186">
        <f>H3+1</f>
        <v>2</v>
      </c>
      <c r="J3" s="186">
        <f>I3+1</f>
        <v>3</v>
      </c>
      <c r="K3" s="186">
        <f>J3+1</f>
        <v>4</v>
      </c>
      <c r="L3" s="186">
        <v>1</v>
      </c>
      <c r="M3" s="186">
        <f>L3+1</f>
        <v>2</v>
      </c>
      <c r="N3" s="186">
        <f>M3+1</f>
        <v>3</v>
      </c>
      <c r="O3" s="185">
        <f>N3+1</f>
        <v>4</v>
      </c>
      <c r="P3" s="187">
        <v>1</v>
      </c>
      <c r="Q3" s="186">
        <f>P3+1</f>
        <v>2</v>
      </c>
      <c r="R3" s="186">
        <f>Q3+1</f>
        <v>3</v>
      </c>
      <c r="S3" s="186">
        <f>R3+1</f>
        <v>4</v>
      </c>
      <c r="T3" s="186">
        <v>1</v>
      </c>
      <c r="U3" s="186">
        <f>T3+1</f>
        <v>2</v>
      </c>
      <c r="V3" s="186">
        <f>U3+1</f>
        <v>3</v>
      </c>
      <c r="W3" s="186">
        <f>V3+1</f>
        <v>4</v>
      </c>
      <c r="X3" s="186">
        <v>1</v>
      </c>
      <c r="Y3" s="186">
        <f>X3+1</f>
        <v>2</v>
      </c>
      <c r="Z3" s="186">
        <f>Y3+1</f>
        <v>3</v>
      </c>
      <c r="AA3" s="185">
        <f>Z3+1</f>
        <v>4</v>
      </c>
      <c r="AB3" s="187">
        <v>1</v>
      </c>
      <c r="AC3" s="186">
        <f>AB3+1</f>
        <v>2</v>
      </c>
      <c r="AD3" s="186">
        <f>AC3+1</f>
        <v>3</v>
      </c>
      <c r="AE3" s="186">
        <f>AD3+1</f>
        <v>4</v>
      </c>
      <c r="AF3" s="186">
        <v>1</v>
      </c>
      <c r="AG3" s="186">
        <f>AF3+1</f>
        <v>2</v>
      </c>
      <c r="AH3" s="186">
        <f>AG3+1</f>
        <v>3</v>
      </c>
      <c r="AI3" s="186">
        <f>AH3+1</f>
        <v>4</v>
      </c>
      <c r="AJ3" s="186">
        <v>1</v>
      </c>
      <c r="AK3" s="186">
        <f>AJ3+1</f>
        <v>2</v>
      </c>
      <c r="AL3" s="186">
        <f>AK3+1</f>
        <v>3</v>
      </c>
      <c r="AM3" s="185">
        <f>AL3+1</f>
        <v>4</v>
      </c>
      <c r="AN3" s="187">
        <v>1</v>
      </c>
      <c r="AO3" s="186">
        <f>AN3+1</f>
        <v>2</v>
      </c>
      <c r="AP3" s="186">
        <f>AO3+1</f>
        <v>3</v>
      </c>
      <c r="AQ3" s="186">
        <f>AP3+1</f>
        <v>4</v>
      </c>
      <c r="AR3" s="186">
        <v>1</v>
      </c>
      <c r="AS3" s="186">
        <f>AR3+1</f>
        <v>2</v>
      </c>
      <c r="AT3" s="186">
        <f>AS3+1</f>
        <v>3</v>
      </c>
      <c r="AU3" s="186">
        <f>AT3+1</f>
        <v>4</v>
      </c>
      <c r="AV3" s="186">
        <v>1</v>
      </c>
      <c r="AW3" s="186">
        <f>AV3+1</f>
        <v>2</v>
      </c>
      <c r="AX3" s="186">
        <f>AW3+1</f>
        <v>3</v>
      </c>
      <c r="AY3" s="185">
        <f>AX3+1</f>
        <v>4</v>
      </c>
    </row>
    <row r="4" spans="1:51" x14ac:dyDescent="0.25">
      <c r="A4" s="183" t="s">
        <v>145</v>
      </c>
      <c r="B4" s="182" t="s">
        <v>371</v>
      </c>
      <c r="C4" s="181" t="s">
        <v>161</v>
      </c>
      <c r="D4" s="180"/>
      <c r="E4" s="179"/>
      <c r="F4" s="179"/>
      <c r="G4" s="178"/>
      <c r="H4" s="178"/>
      <c r="I4" s="178"/>
      <c r="J4" s="178"/>
      <c r="K4" s="178"/>
      <c r="L4" s="178"/>
      <c r="M4" s="177"/>
      <c r="N4" s="177"/>
      <c r="O4" s="176"/>
      <c r="P4" s="180"/>
      <c r="Q4" s="179"/>
      <c r="R4" s="179"/>
      <c r="S4" s="178"/>
      <c r="T4" s="178"/>
      <c r="U4" s="178"/>
      <c r="V4" s="178"/>
      <c r="W4" s="178"/>
      <c r="X4" s="178"/>
      <c r="Y4" s="177"/>
      <c r="Z4" s="177"/>
      <c r="AA4" s="176"/>
      <c r="AB4" s="180"/>
      <c r="AC4" s="179"/>
      <c r="AD4" s="179"/>
      <c r="AE4" s="178"/>
      <c r="AF4" s="178"/>
      <c r="AG4" s="178"/>
      <c r="AH4" s="178"/>
      <c r="AI4" s="178"/>
      <c r="AJ4" s="178"/>
      <c r="AK4" s="177"/>
      <c r="AL4" s="177"/>
      <c r="AM4" s="176"/>
      <c r="AN4" s="180"/>
      <c r="AO4" s="179"/>
      <c r="AP4" s="179"/>
      <c r="AQ4" s="178"/>
      <c r="AR4" s="178"/>
      <c r="AS4" s="178"/>
      <c r="AT4" s="178"/>
      <c r="AU4" s="178"/>
      <c r="AV4" s="178"/>
      <c r="AW4" s="177"/>
      <c r="AX4" s="177"/>
      <c r="AY4" s="176"/>
    </row>
    <row r="5" spans="1:51" x14ac:dyDescent="0.25">
      <c r="A5" s="184" t="s">
        <v>379</v>
      </c>
      <c r="B5" s="174" t="s">
        <v>373</v>
      </c>
      <c r="C5" s="173" t="s">
        <v>163</v>
      </c>
      <c r="D5" s="172"/>
      <c r="E5" s="171"/>
      <c r="F5" s="171"/>
      <c r="G5" s="74"/>
      <c r="H5" s="74"/>
      <c r="I5" s="74"/>
      <c r="J5" s="74"/>
      <c r="K5" s="74"/>
      <c r="L5" s="74"/>
      <c r="M5" s="170"/>
      <c r="N5" s="170"/>
      <c r="O5" s="169"/>
      <c r="P5" s="172"/>
      <c r="Q5" s="171"/>
      <c r="R5" s="171"/>
      <c r="S5" s="74"/>
      <c r="T5" s="74"/>
      <c r="U5" s="74"/>
      <c r="V5" s="74"/>
      <c r="W5" s="74"/>
      <c r="X5" s="74"/>
      <c r="Y5" s="170"/>
      <c r="Z5" s="170"/>
      <c r="AA5" s="169"/>
      <c r="AB5" s="172"/>
      <c r="AC5" s="171"/>
      <c r="AD5" s="171"/>
      <c r="AE5" s="74"/>
      <c r="AF5" s="74"/>
      <c r="AG5" s="74"/>
      <c r="AH5" s="74"/>
      <c r="AI5" s="74"/>
      <c r="AJ5" s="74"/>
      <c r="AK5" s="170"/>
      <c r="AL5" s="170"/>
      <c r="AM5" s="169"/>
      <c r="AN5" s="172"/>
      <c r="AO5" s="171"/>
      <c r="AP5" s="171"/>
      <c r="AQ5" s="74"/>
      <c r="AR5" s="74"/>
      <c r="AS5" s="74"/>
      <c r="AT5" s="74"/>
      <c r="AU5" s="74"/>
      <c r="AV5" s="74"/>
      <c r="AW5" s="170"/>
      <c r="AX5" s="170"/>
      <c r="AY5" s="169"/>
    </row>
    <row r="6" spans="1:51" x14ac:dyDescent="0.25">
      <c r="A6" s="175" t="s">
        <v>117</v>
      </c>
      <c r="B6" s="174" t="s">
        <v>378</v>
      </c>
      <c r="C6" s="173" t="s">
        <v>163</v>
      </c>
      <c r="D6" s="172"/>
      <c r="E6" s="171"/>
      <c r="F6" s="171"/>
      <c r="G6" s="74"/>
      <c r="H6" s="74"/>
      <c r="I6" s="74"/>
      <c r="J6" s="74"/>
      <c r="K6" s="74"/>
      <c r="L6" s="74"/>
      <c r="M6" s="170"/>
      <c r="N6" s="170"/>
      <c r="O6" s="169"/>
      <c r="P6" s="172"/>
      <c r="Q6" s="171"/>
      <c r="R6" s="171"/>
      <c r="S6" s="74"/>
      <c r="T6" s="74"/>
      <c r="U6" s="74"/>
      <c r="V6" s="74"/>
      <c r="W6" s="74"/>
      <c r="X6" s="74"/>
      <c r="Y6" s="170"/>
      <c r="Z6" s="170"/>
      <c r="AA6" s="169"/>
      <c r="AB6" s="172"/>
      <c r="AC6" s="171"/>
      <c r="AD6" s="171"/>
      <c r="AE6" s="74"/>
      <c r="AF6" s="74"/>
      <c r="AG6" s="74"/>
      <c r="AH6" s="74"/>
      <c r="AI6" s="74"/>
      <c r="AJ6" s="74"/>
      <c r="AK6" s="170"/>
      <c r="AL6" s="170"/>
      <c r="AM6" s="169"/>
      <c r="AN6" s="172"/>
      <c r="AO6" s="171"/>
      <c r="AP6" s="171"/>
      <c r="AQ6" s="74"/>
      <c r="AR6" s="74"/>
      <c r="AS6" s="74"/>
      <c r="AT6" s="74"/>
      <c r="AU6" s="74"/>
      <c r="AV6" s="74"/>
      <c r="AW6" s="170"/>
      <c r="AX6" s="170"/>
      <c r="AY6" s="169"/>
    </row>
    <row r="7" spans="1:51" x14ac:dyDescent="0.25">
      <c r="A7" s="175" t="s">
        <v>377</v>
      </c>
      <c r="B7" s="174" t="s">
        <v>371</v>
      </c>
      <c r="C7" s="173" t="s">
        <v>162</v>
      </c>
      <c r="D7" s="172"/>
      <c r="E7" s="171"/>
      <c r="F7" s="171"/>
      <c r="G7" s="74"/>
      <c r="H7" s="74"/>
      <c r="I7" s="74"/>
      <c r="J7" s="74"/>
      <c r="K7" s="74"/>
      <c r="L7" s="74"/>
      <c r="M7" s="170"/>
      <c r="N7" s="170"/>
      <c r="O7" s="169"/>
      <c r="P7" s="172"/>
      <c r="Q7" s="171"/>
      <c r="R7" s="171"/>
      <c r="S7" s="74"/>
      <c r="T7" s="74"/>
      <c r="U7" s="74"/>
      <c r="V7" s="74"/>
      <c r="W7" s="74"/>
      <c r="X7" s="74"/>
      <c r="Y7" s="170"/>
      <c r="Z7" s="170"/>
      <c r="AA7" s="169"/>
      <c r="AB7" s="172"/>
      <c r="AC7" s="171"/>
      <c r="AD7" s="171"/>
      <c r="AE7" s="74"/>
      <c r="AF7" s="74"/>
      <c r="AG7" s="74"/>
      <c r="AH7" s="74"/>
      <c r="AI7" s="74"/>
      <c r="AJ7" s="74"/>
      <c r="AK7" s="170"/>
      <c r="AL7" s="170"/>
      <c r="AM7" s="169"/>
      <c r="AN7" s="172"/>
      <c r="AO7" s="171"/>
      <c r="AP7" s="171"/>
      <c r="AQ7" s="74"/>
      <c r="AR7" s="74"/>
      <c r="AS7" s="74"/>
      <c r="AT7" s="74"/>
      <c r="AU7" s="74"/>
      <c r="AV7" s="74"/>
      <c r="AW7" s="170"/>
      <c r="AX7" s="170"/>
      <c r="AY7" s="169"/>
    </row>
    <row r="8" spans="1:51" x14ac:dyDescent="0.25">
      <c r="A8" s="175" t="s">
        <v>155</v>
      </c>
      <c r="B8" s="174" t="s">
        <v>373</v>
      </c>
      <c r="C8" s="173" t="s">
        <v>162</v>
      </c>
      <c r="D8" s="172"/>
      <c r="E8" s="171"/>
      <c r="F8" s="171"/>
      <c r="G8" s="74"/>
      <c r="H8" s="74"/>
      <c r="I8" s="74"/>
      <c r="J8" s="74"/>
      <c r="K8" s="74"/>
      <c r="L8" s="74"/>
      <c r="M8" s="170"/>
      <c r="N8" s="170"/>
      <c r="O8" s="169"/>
      <c r="P8" s="172"/>
      <c r="Q8" s="171"/>
      <c r="R8" s="171"/>
      <c r="S8" s="74"/>
      <c r="T8" s="74"/>
      <c r="U8" s="74"/>
      <c r="V8" s="74"/>
      <c r="W8" s="74"/>
      <c r="X8" s="74"/>
      <c r="Y8" s="170"/>
      <c r="Z8" s="170"/>
      <c r="AA8" s="169"/>
      <c r="AB8" s="172"/>
      <c r="AC8" s="171"/>
      <c r="AD8" s="171"/>
      <c r="AE8" s="74"/>
      <c r="AF8" s="74"/>
      <c r="AG8" s="74"/>
      <c r="AH8" s="74"/>
      <c r="AI8" s="74"/>
      <c r="AJ8" s="74"/>
      <c r="AK8" s="170"/>
      <c r="AL8" s="170"/>
      <c r="AM8" s="169"/>
      <c r="AN8" s="172"/>
      <c r="AO8" s="171"/>
      <c r="AP8" s="171"/>
      <c r="AQ8" s="74"/>
      <c r="AR8" s="74"/>
      <c r="AS8" s="74"/>
      <c r="AT8" s="74"/>
      <c r="AU8" s="74"/>
      <c r="AV8" s="74"/>
      <c r="AW8" s="170"/>
      <c r="AX8" s="170"/>
      <c r="AY8" s="169"/>
    </row>
    <row r="9" spans="1:51" ht="15.75" thickBot="1" x14ac:dyDescent="0.3">
      <c r="A9" s="168" t="s">
        <v>376</v>
      </c>
      <c r="B9" s="167" t="s">
        <v>370</v>
      </c>
      <c r="C9" s="166" t="s">
        <v>162</v>
      </c>
      <c r="D9" s="165"/>
      <c r="E9" s="164"/>
      <c r="F9" s="164"/>
      <c r="G9" s="163"/>
      <c r="H9" s="163"/>
      <c r="I9" s="163"/>
      <c r="J9" s="163"/>
      <c r="K9" s="163"/>
      <c r="L9" s="163"/>
      <c r="M9" s="162"/>
      <c r="N9" s="162"/>
      <c r="O9" s="161"/>
      <c r="P9" s="165"/>
      <c r="Q9" s="164"/>
      <c r="R9" s="164"/>
      <c r="S9" s="163"/>
      <c r="T9" s="163"/>
      <c r="U9" s="163"/>
      <c r="V9" s="163"/>
      <c r="W9" s="163"/>
      <c r="X9" s="163"/>
      <c r="Y9" s="162"/>
      <c r="Z9" s="162"/>
      <c r="AA9" s="161"/>
      <c r="AB9" s="165"/>
      <c r="AC9" s="164"/>
      <c r="AD9" s="164"/>
      <c r="AE9" s="163"/>
      <c r="AF9" s="163"/>
      <c r="AG9" s="163"/>
      <c r="AH9" s="163"/>
      <c r="AI9" s="163"/>
      <c r="AJ9" s="163"/>
      <c r="AK9" s="162"/>
      <c r="AL9" s="162"/>
      <c r="AM9" s="161"/>
      <c r="AN9" s="165"/>
      <c r="AO9" s="164"/>
      <c r="AP9" s="164"/>
      <c r="AQ9" s="163"/>
      <c r="AR9" s="163"/>
      <c r="AS9" s="163"/>
      <c r="AT9" s="163"/>
      <c r="AU9" s="163"/>
      <c r="AV9" s="163"/>
      <c r="AW9" s="162"/>
      <c r="AX9" s="162"/>
      <c r="AY9" s="161"/>
    </row>
    <row r="10" spans="1:51" x14ac:dyDescent="0.25">
      <c r="A10" s="183" t="s">
        <v>92</v>
      </c>
      <c r="B10" s="182" t="s">
        <v>373</v>
      </c>
      <c r="C10" s="181" t="s">
        <v>163</v>
      </c>
      <c r="D10" s="180"/>
      <c r="E10" s="179"/>
      <c r="F10" s="179"/>
      <c r="G10" s="178"/>
      <c r="H10" s="178"/>
      <c r="I10" s="178"/>
      <c r="J10" s="178"/>
      <c r="K10" s="178"/>
      <c r="L10" s="178"/>
      <c r="M10" s="177"/>
      <c r="N10" s="177"/>
      <c r="O10" s="176"/>
      <c r="P10" s="180"/>
      <c r="Q10" s="179"/>
      <c r="R10" s="179"/>
      <c r="S10" s="178"/>
      <c r="T10" s="178"/>
      <c r="U10" s="178"/>
      <c r="V10" s="178"/>
      <c r="W10" s="178"/>
      <c r="X10" s="178"/>
      <c r="Y10" s="177"/>
      <c r="Z10" s="177"/>
      <c r="AA10" s="176"/>
      <c r="AB10" s="180"/>
      <c r="AC10" s="179"/>
      <c r="AD10" s="179"/>
      <c r="AE10" s="178"/>
      <c r="AF10" s="178"/>
      <c r="AG10" s="178"/>
      <c r="AH10" s="178"/>
      <c r="AI10" s="178"/>
      <c r="AJ10" s="178"/>
      <c r="AK10" s="177"/>
      <c r="AL10" s="177"/>
      <c r="AM10" s="176"/>
      <c r="AN10" s="180"/>
      <c r="AO10" s="179"/>
      <c r="AP10" s="179"/>
      <c r="AQ10" s="178"/>
      <c r="AR10" s="178"/>
      <c r="AS10" s="178"/>
      <c r="AT10" s="178"/>
      <c r="AU10" s="178"/>
      <c r="AV10" s="178"/>
      <c r="AW10" s="177"/>
      <c r="AX10" s="177"/>
      <c r="AY10" s="176"/>
    </row>
    <row r="11" spans="1:51" x14ac:dyDescent="0.25">
      <c r="A11" s="175" t="s">
        <v>375</v>
      </c>
      <c r="B11" s="174" t="s">
        <v>373</v>
      </c>
      <c r="C11" s="173" t="s">
        <v>161</v>
      </c>
      <c r="D11" s="172"/>
      <c r="E11" s="171"/>
      <c r="F11" s="171"/>
      <c r="G11" s="74"/>
      <c r="H11" s="74"/>
      <c r="I11" s="74"/>
      <c r="J11" s="74"/>
      <c r="K11" s="74"/>
      <c r="L11" s="74"/>
      <c r="M11" s="170"/>
      <c r="N11" s="170"/>
      <c r="O11" s="169"/>
      <c r="P11" s="172"/>
      <c r="Q11" s="171"/>
      <c r="R11" s="171"/>
      <c r="S11" s="74"/>
      <c r="T11" s="74"/>
      <c r="U11" s="74"/>
      <c r="V11" s="74"/>
      <c r="W11" s="74"/>
      <c r="X11" s="74"/>
      <c r="Y11" s="170"/>
      <c r="Z11" s="170"/>
      <c r="AA11" s="169"/>
      <c r="AB11" s="172"/>
      <c r="AC11" s="171"/>
      <c r="AD11" s="171"/>
      <c r="AE11" s="74"/>
      <c r="AF11" s="74"/>
      <c r="AG11" s="74"/>
      <c r="AH11" s="74"/>
      <c r="AI11" s="74"/>
      <c r="AJ11" s="74"/>
      <c r="AK11" s="170"/>
      <c r="AL11" s="170"/>
      <c r="AM11" s="169"/>
      <c r="AN11" s="172"/>
      <c r="AO11" s="171"/>
      <c r="AP11" s="171"/>
      <c r="AQ11" s="74"/>
      <c r="AR11" s="74"/>
      <c r="AS11" s="74"/>
      <c r="AT11" s="74"/>
      <c r="AU11" s="74"/>
      <c r="AV11" s="74"/>
      <c r="AW11" s="170"/>
      <c r="AX11" s="170"/>
      <c r="AY11" s="169"/>
    </row>
    <row r="12" spans="1:51" x14ac:dyDescent="0.25">
      <c r="A12" s="175" t="s">
        <v>54</v>
      </c>
      <c r="B12" s="174" t="s">
        <v>374</v>
      </c>
      <c r="C12" s="173" t="s">
        <v>163</v>
      </c>
      <c r="D12" s="172"/>
      <c r="E12" s="171"/>
      <c r="F12" s="171"/>
      <c r="G12" s="74"/>
      <c r="H12" s="74"/>
      <c r="I12" s="74"/>
      <c r="J12" s="74"/>
      <c r="K12" s="74"/>
      <c r="L12" s="74"/>
      <c r="M12" s="170"/>
      <c r="N12" s="170"/>
      <c r="O12" s="169"/>
      <c r="P12" s="172"/>
      <c r="Q12" s="171"/>
      <c r="R12" s="171"/>
      <c r="S12" s="74"/>
      <c r="T12" s="74"/>
      <c r="U12" s="74"/>
      <c r="V12" s="74"/>
      <c r="W12" s="74"/>
      <c r="X12" s="74"/>
      <c r="Y12" s="170"/>
      <c r="Z12" s="170"/>
      <c r="AA12" s="169"/>
      <c r="AB12" s="172"/>
      <c r="AC12" s="171"/>
      <c r="AD12" s="171"/>
      <c r="AE12" s="74"/>
      <c r="AF12" s="74"/>
      <c r="AG12" s="74"/>
      <c r="AH12" s="74"/>
      <c r="AI12" s="74"/>
      <c r="AJ12" s="74"/>
      <c r="AK12" s="170"/>
      <c r="AL12" s="170"/>
      <c r="AM12" s="169"/>
      <c r="AN12" s="172"/>
      <c r="AO12" s="171"/>
      <c r="AP12" s="171"/>
      <c r="AQ12" s="74"/>
      <c r="AR12" s="74"/>
      <c r="AS12" s="74"/>
      <c r="AT12" s="74"/>
      <c r="AU12" s="74"/>
      <c r="AV12" s="74"/>
      <c r="AW12" s="170"/>
      <c r="AX12" s="170"/>
      <c r="AY12" s="169"/>
    </row>
    <row r="13" spans="1:51" x14ac:dyDescent="0.25">
      <c r="A13" s="175" t="s">
        <v>113</v>
      </c>
      <c r="B13" s="174" t="s">
        <v>373</v>
      </c>
      <c r="C13" s="173" t="s">
        <v>162</v>
      </c>
      <c r="D13" s="172"/>
      <c r="E13" s="171"/>
      <c r="F13" s="171"/>
      <c r="G13" s="74"/>
      <c r="H13" s="74"/>
      <c r="I13" s="74"/>
      <c r="J13" s="74"/>
      <c r="K13" s="74"/>
      <c r="L13" s="74"/>
      <c r="M13" s="170"/>
      <c r="N13" s="170"/>
      <c r="O13" s="169"/>
      <c r="P13" s="172"/>
      <c r="Q13" s="171"/>
      <c r="R13" s="171"/>
      <c r="S13" s="74"/>
      <c r="T13" s="74"/>
      <c r="U13" s="74"/>
      <c r="V13" s="74"/>
      <c r="W13" s="74"/>
      <c r="X13" s="74"/>
      <c r="Y13" s="170"/>
      <c r="Z13" s="170"/>
      <c r="AA13" s="169"/>
      <c r="AB13" s="172"/>
      <c r="AC13" s="171"/>
      <c r="AD13" s="171"/>
      <c r="AE13" s="74"/>
      <c r="AF13" s="74"/>
      <c r="AG13" s="74"/>
      <c r="AH13" s="74"/>
      <c r="AI13" s="74"/>
      <c r="AJ13" s="74"/>
      <c r="AK13" s="170"/>
      <c r="AL13" s="170"/>
      <c r="AM13" s="169"/>
      <c r="AN13" s="172"/>
      <c r="AO13" s="171"/>
      <c r="AP13" s="171"/>
      <c r="AQ13" s="74"/>
      <c r="AR13" s="74"/>
      <c r="AS13" s="74"/>
      <c r="AT13" s="74"/>
      <c r="AU13" s="74"/>
      <c r="AV13" s="74"/>
      <c r="AW13" s="170"/>
      <c r="AX13" s="170"/>
      <c r="AY13" s="169"/>
    </row>
    <row r="14" spans="1:51" x14ac:dyDescent="0.25">
      <c r="A14" s="175" t="s">
        <v>372</v>
      </c>
      <c r="B14" s="174" t="s">
        <v>170</v>
      </c>
      <c r="C14" s="173" t="s">
        <v>162</v>
      </c>
      <c r="D14" s="172"/>
      <c r="E14" s="171"/>
      <c r="F14" s="171"/>
      <c r="G14" s="74"/>
      <c r="H14" s="74"/>
      <c r="I14" s="74"/>
      <c r="J14" s="74"/>
      <c r="K14" s="74"/>
      <c r="L14" s="74"/>
      <c r="M14" s="170"/>
      <c r="N14" s="170"/>
      <c r="O14" s="169"/>
      <c r="P14" s="172"/>
      <c r="Q14" s="171"/>
      <c r="R14" s="171"/>
      <c r="S14" s="74"/>
      <c r="T14" s="74"/>
      <c r="U14" s="74"/>
      <c r="V14" s="74"/>
      <c r="W14" s="74"/>
      <c r="X14" s="74"/>
      <c r="Y14" s="170"/>
      <c r="Z14" s="170"/>
      <c r="AA14" s="169"/>
      <c r="AB14" s="172"/>
      <c r="AC14" s="171"/>
      <c r="AD14" s="171"/>
      <c r="AE14" s="74"/>
      <c r="AF14" s="74"/>
      <c r="AG14" s="74"/>
      <c r="AH14" s="74"/>
      <c r="AI14" s="74"/>
      <c r="AJ14" s="74"/>
      <c r="AK14" s="170"/>
      <c r="AL14" s="170"/>
      <c r="AM14" s="169"/>
      <c r="AN14" s="172"/>
      <c r="AO14" s="171"/>
      <c r="AP14" s="171"/>
      <c r="AQ14" s="74"/>
      <c r="AR14" s="74"/>
      <c r="AS14" s="74"/>
      <c r="AT14" s="74"/>
      <c r="AU14" s="74"/>
      <c r="AV14" s="74"/>
      <c r="AW14" s="170"/>
      <c r="AX14" s="170"/>
      <c r="AY14" s="169"/>
    </row>
    <row r="15" spans="1:51" ht="15.75" thickBot="1" x14ac:dyDescent="0.3">
      <c r="A15" s="168" t="s">
        <v>178</v>
      </c>
      <c r="B15" s="167" t="s">
        <v>170</v>
      </c>
      <c r="C15" s="166" t="s">
        <v>161</v>
      </c>
      <c r="D15" s="165"/>
      <c r="E15" s="164"/>
      <c r="F15" s="164"/>
      <c r="G15" s="163"/>
      <c r="H15" s="163"/>
      <c r="I15" s="163"/>
      <c r="J15" s="163"/>
      <c r="K15" s="163"/>
      <c r="L15" s="163"/>
      <c r="M15" s="162"/>
      <c r="N15" s="162"/>
      <c r="O15" s="161"/>
      <c r="P15" s="165"/>
      <c r="Q15" s="164"/>
      <c r="R15" s="164"/>
      <c r="S15" s="163"/>
      <c r="T15" s="163"/>
      <c r="U15" s="163"/>
      <c r="V15" s="163"/>
      <c r="W15" s="163"/>
      <c r="X15" s="163"/>
      <c r="Y15" s="162"/>
      <c r="Z15" s="162"/>
      <c r="AA15" s="161"/>
      <c r="AB15" s="165"/>
      <c r="AC15" s="164"/>
      <c r="AD15" s="164"/>
      <c r="AE15" s="163"/>
      <c r="AF15" s="163"/>
      <c r="AG15" s="163"/>
      <c r="AH15" s="163"/>
      <c r="AI15" s="163"/>
      <c r="AJ15" s="163"/>
      <c r="AK15" s="162"/>
      <c r="AL15" s="162"/>
      <c r="AM15" s="161"/>
      <c r="AN15" s="165"/>
      <c r="AO15" s="164"/>
      <c r="AP15" s="164"/>
      <c r="AQ15" s="163"/>
      <c r="AR15" s="163"/>
      <c r="AS15" s="163"/>
      <c r="AT15" s="163"/>
      <c r="AU15" s="163"/>
      <c r="AV15" s="163"/>
      <c r="AW15" s="162"/>
      <c r="AX15" s="162"/>
      <c r="AY15" s="161"/>
    </row>
    <row r="16" spans="1:51" x14ac:dyDescent="0.25">
      <c r="A16" s="183" t="s">
        <v>143</v>
      </c>
      <c r="B16" s="182" t="s">
        <v>371</v>
      </c>
      <c r="C16" s="181" t="s">
        <v>162</v>
      </c>
      <c r="D16" s="180"/>
      <c r="E16" s="179"/>
      <c r="F16" s="179"/>
      <c r="G16" s="178"/>
      <c r="H16" s="178"/>
      <c r="I16" s="178"/>
      <c r="J16" s="178"/>
      <c r="K16" s="178"/>
      <c r="L16" s="178"/>
      <c r="M16" s="177"/>
      <c r="N16" s="177"/>
      <c r="O16" s="176"/>
      <c r="P16" s="180"/>
      <c r="Q16" s="179"/>
      <c r="R16" s="179"/>
      <c r="S16" s="178"/>
      <c r="T16" s="178"/>
      <c r="U16" s="178"/>
      <c r="V16" s="178"/>
      <c r="W16" s="178"/>
      <c r="X16" s="178"/>
      <c r="Y16" s="177"/>
      <c r="Z16" s="177"/>
      <c r="AA16" s="176"/>
      <c r="AB16" s="180"/>
      <c r="AC16" s="179"/>
      <c r="AD16" s="179"/>
      <c r="AE16" s="178"/>
      <c r="AF16" s="178"/>
      <c r="AG16" s="178"/>
      <c r="AH16" s="178"/>
      <c r="AI16" s="178"/>
      <c r="AJ16" s="178"/>
      <c r="AK16" s="177"/>
      <c r="AL16" s="177"/>
      <c r="AM16" s="176"/>
      <c r="AN16" s="180"/>
      <c r="AO16" s="179"/>
      <c r="AP16" s="179"/>
      <c r="AQ16" s="178"/>
      <c r="AR16" s="178"/>
      <c r="AS16" s="178"/>
      <c r="AT16" s="178"/>
      <c r="AU16" s="178"/>
      <c r="AV16" s="178"/>
      <c r="AW16" s="177"/>
      <c r="AX16" s="177"/>
      <c r="AY16" s="176"/>
    </row>
    <row r="17" spans="1:51" x14ac:dyDescent="0.25">
      <c r="A17" s="175" t="s">
        <v>144</v>
      </c>
      <c r="B17" s="174" t="s">
        <v>371</v>
      </c>
      <c r="C17" s="173" t="s">
        <v>162</v>
      </c>
      <c r="D17" s="172"/>
      <c r="E17" s="171"/>
      <c r="F17" s="171"/>
      <c r="G17" s="74"/>
      <c r="H17" s="74"/>
      <c r="I17" s="74"/>
      <c r="J17" s="74"/>
      <c r="K17" s="74"/>
      <c r="L17" s="74"/>
      <c r="M17" s="170"/>
      <c r="N17" s="170"/>
      <c r="O17" s="169"/>
      <c r="P17" s="172"/>
      <c r="Q17" s="171"/>
      <c r="R17" s="171"/>
      <c r="S17" s="74"/>
      <c r="T17" s="74"/>
      <c r="U17" s="74"/>
      <c r="V17" s="74"/>
      <c r="W17" s="74"/>
      <c r="X17" s="74"/>
      <c r="Y17" s="170"/>
      <c r="Z17" s="170"/>
      <c r="AA17" s="169"/>
      <c r="AB17" s="172"/>
      <c r="AC17" s="171"/>
      <c r="AD17" s="171"/>
      <c r="AE17" s="74"/>
      <c r="AF17" s="74"/>
      <c r="AG17" s="74"/>
      <c r="AH17" s="74"/>
      <c r="AI17" s="74"/>
      <c r="AJ17" s="74"/>
      <c r="AK17" s="170"/>
      <c r="AL17" s="170"/>
      <c r="AM17" s="169"/>
      <c r="AN17" s="172"/>
      <c r="AO17" s="171"/>
      <c r="AP17" s="171"/>
      <c r="AQ17" s="74"/>
      <c r="AR17" s="74"/>
      <c r="AS17" s="74"/>
      <c r="AT17" s="74"/>
      <c r="AU17" s="74"/>
      <c r="AV17" s="74"/>
      <c r="AW17" s="170"/>
      <c r="AX17" s="170"/>
      <c r="AY17" s="169"/>
    </row>
    <row r="18" spans="1:51" x14ac:dyDescent="0.25">
      <c r="A18" s="175" t="s">
        <v>123</v>
      </c>
      <c r="B18" s="174" t="s">
        <v>370</v>
      </c>
      <c r="C18" s="173" t="s">
        <v>163</v>
      </c>
      <c r="D18" s="172"/>
      <c r="E18" s="171"/>
      <c r="F18" s="171"/>
      <c r="G18" s="74"/>
      <c r="H18" s="74"/>
      <c r="I18" s="74"/>
      <c r="J18" s="74"/>
      <c r="K18" s="74"/>
      <c r="L18" s="74"/>
      <c r="M18" s="170"/>
      <c r="N18" s="170"/>
      <c r="O18" s="169"/>
      <c r="P18" s="172"/>
      <c r="Q18" s="171"/>
      <c r="R18" s="171"/>
      <c r="S18" s="74"/>
      <c r="T18" s="74"/>
      <c r="U18" s="74"/>
      <c r="V18" s="74"/>
      <c r="W18" s="74"/>
      <c r="X18" s="74"/>
      <c r="Y18" s="170"/>
      <c r="Z18" s="170"/>
      <c r="AA18" s="169"/>
      <c r="AB18" s="172"/>
      <c r="AC18" s="171"/>
      <c r="AD18" s="171"/>
      <c r="AE18" s="74"/>
      <c r="AF18" s="74"/>
      <c r="AG18" s="74"/>
      <c r="AH18" s="74"/>
      <c r="AI18" s="74"/>
      <c r="AJ18" s="74"/>
      <c r="AK18" s="170"/>
      <c r="AL18" s="170"/>
      <c r="AM18" s="169"/>
      <c r="AN18" s="172"/>
      <c r="AO18" s="171"/>
      <c r="AP18" s="171"/>
      <c r="AQ18" s="74"/>
      <c r="AR18" s="74"/>
      <c r="AS18" s="74"/>
      <c r="AT18" s="74"/>
      <c r="AU18" s="74"/>
      <c r="AV18" s="74"/>
      <c r="AW18" s="170"/>
      <c r="AX18" s="170"/>
      <c r="AY18" s="169"/>
    </row>
    <row r="19" spans="1:51" ht="15.75" thickBot="1" x14ac:dyDescent="0.3">
      <c r="A19" s="168" t="s">
        <v>369</v>
      </c>
      <c r="B19" s="167" t="s">
        <v>168</v>
      </c>
      <c r="C19" s="166" t="s">
        <v>162</v>
      </c>
      <c r="D19" s="165"/>
      <c r="E19" s="164"/>
      <c r="F19" s="164"/>
      <c r="G19" s="163"/>
      <c r="H19" s="163"/>
      <c r="I19" s="163"/>
      <c r="J19" s="163"/>
      <c r="K19" s="163"/>
      <c r="L19" s="163"/>
      <c r="M19" s="162"/>
      <c r="N19" s="162"/>
      <c r="O19" s="161"/>
      <c r="P19" s="165"/>
      <c r="Q19" s="164"/>
      <c r="R19" s="164"/>
      <c r="S19" s="163"/>
      <c r="T19" s="163"/>
      <c r="U19" s="163"/>
      <c r="V19" s="163"/>
      <c r="W19" s="163"/>
      <c r="X19" s="163"/>
      <c r="Y19" s="162"/>
      <c r="Z19" s="162"/>
      <c r="AA19" s="161"/>
      <c r="AB19" s="165"/>
      <c r="AC19" s="164"/>
      <c r="AD19" s="164"/>
      <c r="AE19" s="163"/>
      <c r="AF19" s="163"/>
      <c r="AG19" s="163"/>
      <c r="AH19" s="163"/>
      <c r="AI19" s="163"/>
      <c r="AJ19" s="163"/>
      <c r="AK19" s="162"/>
      <c r="AL19" s="162"/>
      <c r="AM19" s="161"/>
      <c r="AN19" s="165"/>
      <c r="AO19" s="164"/>
      <c r="AP19" s="164"/>
      <c r="AQ19" s="163"/>
      <c r="AR19" s="163"/>
      <c r="AS19" s="163"/>
      <c r="AT19" s="163"/>
      <c r="AU19" s="163"/>
      <c r="AV19" s="163"/>
      <c r="AW19" s="162"/>
      <c r="AX19" s="162"/>
      <c r="AY19" s="161"/>
    </row>
    <row r="20" spans="1:51" x14ac:dyDescent="0.25">
      <c r="A20" s="183" t="s">
        <v>311</v>
      </c>
      <c r="B20" s="182" t="s">
        <v>168</v>
      </c>
      <c r="C20" s="181" t="s">
        <v>163</v>
      </c>
      <c r="D20" s="180"/>
      <c r="E20" s="179"/>
      <c r="F20" s="179"/>
      <c r="G20" s="178"/>
      <c r="H20" s="178"/>
      <c r="I20" s="178"/>
      <c r="J20" s="178"/>
      <c r="K20" s="178"/>
      <c r="L20" s="178"/>
      <c r="M20" s="177"/>
      <c r="N20" s="177"/>
      <c r="O20" s="176"/>
      <c r="P20" s="180"/>
      <c r="Q20" s="179"/>
      <c r="R20" s="179"/>
      <c r="S20" s="178"/>
      <c r="T20" s="178"/>
      <c r="U20" s="178"/>
      <c r="V20" s="178"/>
      <c r="W20" s="178"/>
      <c r="X20" s="178"/>
      <c r="Y20" s="177"/>
      <c r="Z20" s="177"/>
      <c r="AA20" s="176"/>
      <c r="AB20" s="180"/>
      <c r="AC20" s="179"/>
      <c r="AD20" s="179"/>
      <c r="AE20" s="178"/>
      <c r="AF20" s="178"/>
      <c r="AG20" s="178"/>
      <c r="AH20" s="178"/>
      <c r="AI20" s="178"/>
      <c r="AJ20" s="178"/>
      <c r="AK20" s="177"/>
      <c r="AL20" s="177"/>
      <c r="AM20" s="176"/>
      <c r="AN20" s="180"/>
      <c r="AO20" s="179"/>
      <c r="AP20" s="179"/>
      <c r="AQ20" s="178"/>
      <c r="AR20" s="178"/>
      <c r="AS20" s="178"/>
      <c r="AT20" s="178"/>
      <c r="AU20" s="178"/>
      <c r="AV20" s="178"/>
      <c r="AW20" s="177"/>
      <c r="AX20" s="177"/>
      <c r="AY20" s="176"/>
    </row>
    <row r="21" spans="1:51" x14ac:dyDescent="0.25">
      <c r="A21" s="175" t="s">
        <v>197</v>
      </c>
      <c r="B21" s="174" t="s">
        <v>170</v>
      </c>
      <c r="C21" s="173" t="s">
        <v>161</v>
      </c>
      <c r="D21" s="172"/>
      <c r="E21" s="171"/>
      <c r="F21" s="171"/>
      <c r="G21" s="74"/>
      <c r="H21" s="74"/>
      <c r="I21" s="74"/>
      <c r="J21" s="74"/>
      <c r="K21" s="74"/>
      <c r="L21" s="74"/>
      <c r="M21" s="170"/>
      <c r="N21" s="170"/>
      <c r="O21" s="169"/>
      <c r="P21" s="172"/>
      <c r="Q21" s="171"/>
      <c r="R21" s="171"/>
      <c r="S21" s="74"/>
      <c r="T21" s="74"/>
      <c r="U21" s="74"/>
      <c r="V21" s="74"/>
      <c r="W21" s="74"/>
      <c r="X21" s="74"/>
      <c r="Y21" s="170"/>
      <c r="Z21" s="170"/>
      <c r="AA21" s="169"/>
      <c r="AB21" s="172"/>
      <c r="AC21" s="171"/>
      <c r="AD21" s="171"/>
      <c r="AE21" s="74"/>
      <c r="AF21" s="74"/>
      <c r="AG21" s="74"/>
      <c r="AH21" s="74"/>
      <c r="AI21" s="74"/>
      <c r="AJ21" s="74"/>
      <c r="AK21" s="170"/>
      <c r="AL21" s="170"/>
      <c r="AM21" s="169"/>
      <c r="AN21" s="172"/>
      <c r="AO21" s="171"/>
      <c r="AP21" s="171"/>
      <c r="AQ21" s="74"/>
      <c r="AR21" s="74"/>
      <c r="AS21" s="74"/>
      <c r="AT21" s="74"/>
      <c r="AU21" s="74"/>
      <c r="AV21" s="74"/>
      <c r="AW21" s="170"/>
      <c r="AX21" s="170"/>
      <c r="AY21" s="169"/>
    </row>
    <row r="22" spans="1:51" x14ac:dyDescent="0.25">
      <c r="A22" s="175" t="s">
        <v>198</v>
      </c>
      <c r="B22" s="174" t="s">
        <v>168</v>
      </c>
      <c r="C22" s="173" t="s">
        <v>161</v>
      </c>
      <c r="D22" s="172"/>
      <c r="E22" s="171"/>
      <c r="F22" s="171"/>
      <c r="G22" s="74"/>
      <c r="H22" s="74"/>
      <c r="I22" s="74"/>
      <c r="J22" s="74"/>
      <c r="K22" s="74"/>
      <c r="L22" s="74"/>
      <c r="M22" s="170"/>
      <c r="N22" s="170"/>
      <c r="O22" s="169"/>
      <c r="P22" s="172"/>
      <c r="Q22" s="171"/>
      <c r="R22" s="171"/>
      <c r="S22" s="74"/>
      <c r="T22" s="74"/>
      <c r="U22" s="74"/>
      <c r="V22" s="74"/>
      <c r="W22" s="74"/>
      <c r="X22" s="74"/>
      <c r="Y22" s="170"/>
      <c r="Z22" s="170"/>
      <c r="AA22" s="169"/>
      <c r="AB22" s="172"/>
      <c r="AC22" s="171"/>
      <c r="AD22" s="171"/>
      <c r="AE22" s="74"/>
      <c r="AF22" s="74"/>
      <c r="AG22" s="74"/>
      <c r="AH22" s="74"/>
      <c r="AI22" s="74"/>
      <c r="AJ22" s="74"/>
      <c r="AK22" s="170"/>
      <c r="AL22" s="170"/>
      <c r="AM22" s="169"/>
      <c r="AN22" s="172"/>
      <c r="AO22" s="171"/>
      <c r="AP22" s="171"/>
      <c r="AQ22" s="74"/>
      <c r="AR22" s="74"/>
      <c r="AS22" s="74"/>
      <c r="AT22" s="74"/>
      <c r="AU22" s="74"/>
      <c r="AV22" s="74"/>
      <c r="AW22" s="170"/>
      <c r="AX22" s="170"/>
      <c r="AY22" s="169"/>
    </row>
    <row r="23" spans="1:51" x14ac:dyDescent="0.25">
      <c r="A23" s="175" t="s">
        <v>368</v>
      </c>
      <c r="B23" s="174" t="s">
        <v>45</v>
      </c>
      <c r="C23" s="173" t="s">
        <v>162</v>
      </c>
      <c r="D23" s="172"/>
      <c r="E23" s="171"/>
      <c r="F23" s="171"/>
      <c r="G23" s="74"/>
      <c r="H23" s="74"/>
      <c r="I23" s="74"/>
      <c r="J23" s="74"/>
      <c r="K23" s="74"/>
      <c r="L23" s="74"/>
      <c r="M23" s="170"/>
      <c r="N23" s="170"/>
      <c r="O23" s="169"/>
      <c r="P23" s="172"/>
      <c r="Q23" s="171"/>
      <c r="R23" s="171"/>
      <c r="S23" s="74"/>
      <c r="T23" s="74"/>
      <c r="U23" s="74"/>
      <c r="V23" s="74"/>
      <c r="W23" s="74"/>
      <c r="X23" s="74"/>
      <c r="Y23" s="170"/>
      <c r="Z23" s="170"/>
      <c r="AA23" s="169"/>
      <c r="AB23" s="172"/>
      <c r="AC23" s="171"/>
      <c r="AD23" s="171"/>
      <c r="AE23" s="74"/>
      <c r="AF23" s="74"/>
      <c r="AG23" s="74"/>
      <c r="AH23" s="74"/>
      <c r="AI23" s="74"/>
      <c r="AJ23" s="74"/>
      <c r="AK23" s="170"/>
      <c r="AL23" s="170"/>
      <c r="AM23" s="169"/>
      <c r="AN23" s="172"/>
      <c r="AO23" s="171"/>
      <c r="AP23" s="171"/>
      <c r="AQ23" s="74"/>
      <c r="AR23" s="74"/>
      <c r="AS23" s="74"/>
      <c r="AT23" s="74"/>
      <c r="AU23" s="74"/>
      <c r="AV23" s="74"/>
      <c r="AW23" s="170"/>
      <c r="AX23" s="170"/>
      <c r="AY23" s="169"/>
    </row>
    <row r="24" spans="1:51" ht="15.75" thickBot="1" x14ac:dyDescent="0.3">
      <c r="A24" s="168" t="s">
        <v>183</v>
      </c>
      <c r="B24" s="167" t="s">
        <v>168</v>
      </c>
      <c r="C24" s="166" t="s">
        <v>162</v>
      </c>
      <c r="D24" s="165"/>
      <c r="E24" s="164"/>
      <c r="F24" s="164"/>
      <c r="G24" s="163"/>
      <c r="H24" s="163"/>
      <c r="I24" s="163"/>
      <c r="J24" s="163"/>
      <c r="K24" s="163"/>
      <c r="L24" s="163"/>
      <c r="M24" s="162"/>
      <c r="N24" s="162"/>
      <c r="O24" s="161"/>
      <c r="P24" s="165"/>
      <c r="Q24" s="164"/>
      <c r="R24" s="164"/>
      <c r="S24" s="163"/>
      <c r="T24" s="163"/>
      <c r="U24" s="163"/>
      <c r="V24" s="163"/>
      <c r="W24" s="163"/>
      <c r="X24" s="163"/>
      <c r="Y24" s="162"/>
      <c r="Z24" s="162"/>
      <c r="AA24" s="161"/>
      <c r="AB24" s="165"/>
      <c r="AC24" s="164"/>
      <c r="AD24" s="164"/>
      <c r="AE24" s="163"/>
      <c r="AF24" s="163"/>
      <c r="AG24" s="163"/>
      <c r="AH24" s="163"/>
      <c r="AI24" s="163"/>
      <c r="AJ24" s="163"/>
      <c r="AK24" s="162"/>
      <c r="AL24" s="162"/>
      <c r="AM24" s="161"/>
      <c r="AN24" s="165"/>
      <c r="AO24" s="164"/>
      <c r="AP24" s="164"/>
      <c r="AQ24" s="163"/>
      <c r="AR24" s="163"/>
      <c r="AS24" s="163"/>
      <c r="AT24" s="163"/>
      <c r="AU24" s="163"/>
      <c r="AV24" s="163"/>
      <c r="AW24" s="162"/>
      <c r="AX24" s="162"/>
      <c r="AY24" s="161"/>
    </row>
    <row r="25" spans="1:51" x14ac:dyDescent="0.25"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</row>
    <row r="26" spans="1:51" x14ac:dyDescent="0.25">
      <c r="D26" s="65"/>
      <c r="E26" s="65"/>
      <c r="F26" s="65"/>
      <c r="G26" s="65"/>
      <c r="H26" s="65"/>
      <c r="I26" s="65"/>
      <c r="J26" s="65"/>
      <c r="K26" s="226" t="s">
        <v>191</v>
      </c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</row>
    <row r="27" spans="1:51" x14ac:dyDescent="0.25">
      <c r="D27" s="65"/>
      <c r="E27" s="65"/>
      <c r="F27" s="65"/>
      <c r="G27" s="65"/>
      <c r="H27" s="65"/>
      <c r="I27" s="65"/>
      <c r="J27" s="65"/>
      <c r="K27" s="226" t="s">
        <v>192</v>
      </c>
      <c r="L27" s="226"/>
      <c r="M27" s="226"/>
      <c r="N27" s="226"/>
      <c r="O27" s="226" t="s">
        <v>161</v>
      </c>
      <c r="P27" s="226"/>
      <c r="Q27" s="226"/>
      <c r="R27" s="226"/>
      <c r="S27" s="226" t="s">
        <v>162</v>
      </c>
      <c r="T27" s="226"/>
      <c r="U27" s="226"/>
      <c r="V27" s="226"/>
      <c r="W27" s="226" t="s">
        <v>163</v>
      </c>
      <c r="X27" s="226"/>
      <c r="Y27" s="226"/>
      <c r="Z27" s="226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</row>
    <row r="28" spans="1:51" x14ac:dyDescent="0.25">
      <c r="C28" s="226" t="s">
        <v>367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</row>
    <row r="29" spans="1:51" x14ac:dyDescent="0.25">
      <c r="C29" s="226" t="s">
        <v>366</v>
      </c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</row>
    <row r="30" spans="1:51" x14ac:dyDescent="0.25">
      <c r="C30" s="226" t="s">
        <v>365</v>
      </c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</row>
    <row r="31" spans="1:51" x14ac:dyDescent="0.25">
      <c r="C31" s="226" t="s">
        <v>364</v>
      </c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</row>
    <row r="32" spans="1:51" x14ac:dyDescent="0.25">
      <c r="K32" s="226" t="s">
        <v>193</v>
      </c>
      <c r="L32" s="226"/>
      <c r="M32" s="226"/>
      <c r="N32" s="226"/>
      <c r="O32" s="226" t="s">
        <v>363</v>
      </c>
      <c r="P32" s="226"/>
      <c r="Q32" s="226"/>
      <c r="R32" s="226"/>
      <c r="S32" s="226" t="s">
        <v>362</v>
      </c>
      <c r="T32" s="226"/>
      <c r="U32" s="226"/>
      <c r="V32" s="226"/>
      <c r="W32" s="226" t="s">
        <v>361</v>
      </c>
      <c r="X32" s="226"/>
      <c r="Y32" s="226"/>
      <c r="Z32" s="226"/>
    </row>
  </sheetData>
  <mergeCells count="45">
    <mergeCell ref="X2:AA2"/>
    <mergeCell ref="D1:O1"/>
    <mergeCell ref="P1:AA1"/>
    <mergeCell ref="AB1:AM1"/>
    <mergeCell ref="AN1:AY1"/>
    <mergeCell ref="AB2:AE2"/>
    <mergeCell ref="AF2:AI2"/>
    <mergeCell ref="AJ2:AM2"/>
    <mergeCell ref="AN2:AQ2"/>
    <mergeCell ref="AR2:AU2"/>
    <mergeCell ref="AV2:AY2"/>
    <mergeCell ref="D2:G2"/>
    <mergeCell ref="H2:K2"/>
    <mergeCell ref="L2:O2"/>
    <mergeCell ref="P2:S2"/>
    <mergeCell ref="T2:W2"/>
    <mergeCell ref="C30:J30"/>
    <mergeCell ref="C29:J29"/>
    <mergeCell ref="C28:J28"/>
    <mergeCell ref="O27:R27"/>
    <mergeCell ref="S27:V27"/>
    <mergeCell ref="O29:R29"/>
    <mergeCell ref="K27:N27"/>
    <mergeCell ref="K28:N28"/>
    <mergeCell ref="O28:R28"/>
    <mergeCell ref="S28:V28"/>
    <mergeCell ref="S29:V29"/>
    <mergeCell ref="W29:Z29"/>
    <mergeCell ref="O30:R30"/>
    <mergeCell ref="S30:V30"/>
    <mergeCell ref="K26:Z26"/>
    <mergeCell ref="K29:N29"/>
    <mergeCell ref="K30:N30"/>
    <mergeCell ref="W27:Z27"/>
    <mergeCell ref="W30:Z30"/>
    <mergeCell ref="W28:Z28"/>
    <mergeCell ref="K32:N32"/>
    <mergeCell ref="O32:R32"/>
    <mergeCell ref="S32:V32"/>
    <mergeCell ref="W32:Z32"/>
    <mergeCell ref="C31:J31"/>
    <mergeCell ref="K31:N31"/>
    <mergeCell ref="O31:R31"/>
    <mergeCell ref="S31:V31"/>
    <mergeCell ref="W31:Z31"/>
  </mergeCells>
  <pageMargins left="0.19791666666666666" right="0.14583333333333334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Resumen Proy22</vt:lpstr>
      <vt:lpstr>Proyectos 2022</vt:lpstr>
      <vt:lpstr>Gastos 2022</vt:lpstr>
      <vt:lpstr>2023</vt:lpstr>
      <vt:lpstr>S</vt:lpstr>
      <vt:lpstr>F</vt:lpstr>
      <vt:lpstr>O</vt:lpstr>
      <vt:lpstr>@</vt:lpstr>
      <vt:lpstr>Calendario</vt:lpstr>
      <vt:lpstr>Cronograma</vt:lpstr>
      <vt:lpstr>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Morales</dc:creator>
  <cp:lastModifiedBy>Paul Cristhian Peñaherrera Abanto</cp:lastModifiedBy>
  <dcterms:created xsi:type="dcterms:W3CDTF">2021-07-14T16:14:25Z</dcterms:created>
  <dcterms:modified xsi:type="dcterms:W3CDTF">2021-12-27T14:43:26Z</dcterms:modified>
</cp:coreProperties>
</file>