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tables/table3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slicers/slicer1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esktop\"/>
    </mc:Choice>
  </mc:AlternateContent>
  <xr:revisionPtr revIDLastSave="0" documentId="8_{8BC52958-B354-4C22-B961-3C35C54EF4B1}" xr6:coauthVersionLast="47" xr6:coauthVersionMax="47" xr10:uidLastSave="{00000000-0000-0000-0000-000000000000}"/>
  <bookViews>
    <workbookView xWindow="-108" yWindow="-108" windowWidth="23256" windowHeight="12576" tabRatio="841" activeTab="1" xr2:uid="{65936EF0-BD06-4513-B3BD-6E5561B854DD}"/>
  </bookViews>
  <sheets>
    <sheet name="Proyectos" sheetId="3" r:id="rId1"/>
    <sheet name="Facturas" sheetId="20" r:id="rId2"/>
    <sheet name="UNION" sheetId="27" r:id="rId3"/>
    <sheet name="DASHBOARD" sheetId="28" r:id="rId4"/>
    <sheet name="OS" sheetId="25" r:id="rId5"/>
    <sheet name="Para logist" sheetId="24" r:id="rId6"/>
    <sheet name="TD" sheetId="21" r:id="rId7"/>
    <sheet name="Para Contab" sheetId="26" r:id="rId8"/>
    <sheet name="DB" sheetId="22" r:id="rId9"/>
    <sheet name="Resumen" sheetId="23" r:id="rId10"/>
    <sheet name="Evaluación" sheetId="19" r:id="rId11"/>
    <sheet name="Cronograma" sheetId="17" r:id="rId12"/>
    <sheet name="Proyectos 2022" sheetId="7" r:id="rId13"/>
    <sheet name="Consolidado" sheetId="11" r:id="rId14"/>
    <sheet name="Reorganización" sheetId="18" r:id="rId15"/>
    <sheet name="Listado" sheetId="1" r:id="rId16"/>
  </sheets>
  <externalReferences>
    <externalReference r:id="rId17"/>
  </externalReferences>
  <definedNames>
    <definedName name="_xlnm._FilterDatabase" localSheetId="13" hidden="1">Consolidado!$A$1:$AJ$82</definedName>
    <definedName name="_xlnm._FilterDatabase" localSheetId="11" hidden="1">Cronograma!$A$3:$CB$28</definedName>
    <definedName name="_xlnm._FilterDatabase" localSheetId="10" hidden="1">Evaluación!$A$2:$BY$63</definedName>
    <definedName name="_xlnm._FilterDatabase" localSheetId="1" hidden="1">Facturas!$B$2:$X$111</definedName>
    <definedName name="_xlnm._FilterDatabase" localSheetId="4" hidden="1">OS!$B$1:$Q$18</definedName>
    <definedName name="_xlnm._FilterDatabase" localSheetId="0" hidden="1">Proyectos!$B$2:$AD$77</definedName>
    <definedName name="_xlnm._FilterDatabase" localSheetId="12" hidden="1">'Proyectos 2022'!$A$2:$BW$31</definedName>
    <definedName name="_xlnm._FilterDatabase" localSheetId="14" hidden="1">Reorganización!$B$4:$E$23</definedName>
    <definedName name="A">#REF!</definedName>
    <definedName name="_xlnm.Print_Area" localSheetId="1">Facturas!$A$1:$X$118</definedName>
    <definedName name="COMPRAS">#REF!</definedName>
    <definedName name="comprits">#REF!</definedName>
    <definedName name="consejeros">#REF!</definedName>
    <definedName name="Forma_de_pago">[1]Data!$B$6:$J$13</definedName>
    <definedName name="GASTOS" localSheetId="11">#REF!</definedName>
    <definedName name="GASTOS" localSheetId="1">#REF!</definedName>
    <definedName name="GASTOS">#REF!</definedName>
    <definedName name="SASA">#REF!</definedName>
    <definedName name="SegmentaciónDeDatos_Año_Proy">#N/A</definedName>
    <definedName name="SegmentaciónDeDatos_Año_Proy1">#N/A</definedName>
    <definedName name="tabla">#REF!</definedName>
  </definedNames>
  <calcPr calcId="191029"/>
  <pivotCaches>
    <pivotCache cacheId="152" r:id="rId18"/>
    <pivotCache cacheId="153" r:id="rId19"/>
    <pivotCache cacheId="154" r:id="rId20"/>
  </pivotCaches>
  <extLst>
    <ext xmlns:x14="http://schemas.microsoft.com/office/spreadsheetml/2009/9/main" uri="{BBE1A952-AA13-448e-AADC-164F8A28A991}">
      <x14:slicerCaches>
        <x14:slicerCache r:id="rId21"/>
        <x14:slicerCache r:id="rId2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8" l="1"/>
  <c r="I4" i="28"/>
  <c r="I5" i="28"/>
  <c r="I6" i="28"/>
  <c r="I7" i="28"/>
  <c r="I8" i="28"/>
  <c r="I9" i="28"/>
  <c r="I10" i="28"/>
  <c r="I11" i="28"/>
  <c r="C10" i="23"/>
  <c r="G10" i="23" l="1"/>
  <c r="D4" i="28" l="1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C4" i="28"/>
  <c r="C5" i="28" s="1"/>
  <c r="C6" i="28" s="1"/>
  <c r="C7" i="28" s="1"/>
  <c r="C8" i="28" s="1"/>
  <c r="C9" i="28" s="1"/>
  <c r="C10" i="28" s="1"/>
  <c r="C11" i="28" s="1"/>
  <c r="C12" i="28" s="1"/>
  <c r="C13" i="28" s="1"/>
  <c r="C14" i="28" s="1"/>
  <c r="C31" i="23"/>
  <c r="P84" i="20"/>
  <c r="P85" i="20"/>
  <c r="P86" i="20"/>
  <c r="P87" i="20"/>
  <c r="P88" i="20"/>
  <c r="P89" i="20"/>
  <c r="P90" i="20"/>
  <c r="P91" i="20"/>
  <c r="P92" i="20"/>
  <c r="V84" i="20"/>
  <c r="V85" i="20"/>
  <c r="V86" i="20"/>
  <c r="V87" i="20"/>
  <c r="V88" i="20"/>
  <c r="V89" i="20"/>
  <c r="V90" i="20"/>
  <c r="V91" i="20"/>
  <c r="V92" i="20"/>
  <c r="W84" i="20"/>
  <c r="W85" i="20"/>
  <c r="W86" i="20"/>
  <c r="W87" i="20"/>
  <c r="W88" i="20"/>
  <c r="W89" i="20"/>
  <c r="W90" i="20"/>
  <c r="W91" i="20"/>
  <c r="W92" i="20"/>
  <c r="P93" i="20"/>
  <c r="P94" i="20"/>
  <c r="P95" i="20"/>
  <c r="P96" i="20"/>
  <c r="P97" i="20"/>
  <c r="P98" i="20"/>
  <c r="P99" i="20"/>
  <c r="P100" i="20"/>
  <c r="P101" i="20"/>
  <c r="V93" i="20"/>
  <c r="V94" i="20"/>
  <c r="V95" i="20"/>
  <c r="V96" i="20"/>
  <c r="V97" i="20"/>
  <c r="V98" i="20"/>
  <c r="V99" i="20"/>
  <c r="V100" i="20"/>
  <c r="V101" i="20"/>
  <c r="W93" i="20"/>
  <c r="W94" i="20"/>
  <c r="W95" i="20"/>
  <c r="W96" i="20"/>
  <c r="W97" i="20"/>
  <c r="W98" i="20"/>
  <c r="W99" i="20"/>
  <c r="W100" i="20"/>
  <c r="W101" i="20"/>
  <c r="P102" i="20"/>
  <c r="P103" i="20"/>
  <c r="P104" i="20"/>
  <c r="V102" i="20"/>
  <c r="V103" i="20"/>
  <c r="V104" i="20"/>
  <c r="W102" i="20"/>
  <c r="W103" i="20"/>
  <c r="W104" i="20"/>
  <c r="P105" i="20"/>
  <c r="P106" i="20"/>
  <c r="P107" i="20"/>
  <c r="V105" i="20"/>
  <c r="V106" i="20"/>
  <c r="V107" i="20"/>
  <c r="W105" i="20"/>
  <c r="W106" i="20"/>
  <c r="W107" i="20"/>
  <c r="P72" i="20"/>
  <c r="I51" i="3"/>
  <c r="I52" i="3"/>
  <c r="I53" i="3"/>
  <c r="I54" i="3"/>
  <c r="I55" i="3"/>
  <c r="I56" i="3"/>
  <c r="AA51" i="3"/>
  <c r="AA52" i="3"/>
  <c r="AA53" i="3"/>
  <c r="AA54" i="3"/>
  <c r="AA55" i="3"/>
  <c r="AA56" i="3"/>
  <c r="T79" i="3"/>
  <c r="J79" i="3"/>
  <c r="I23" i="3"/>
  <c r="I24" i="3"/>
  <c r="M77" i="20" l="1"/>
  <c r="P77" i="20" s="1"/>
  <c r="V77" i="20"/>
  <c r="W77" i="20"/>
  <c r="M80" i="20"/>
  <c r="P80" i="20" s="1"/>
  <c r="V80" i="20"/>
  <c r="W80" i="20"/>
  <c r="M83" i="20"/>
  <c r="N18" i="25" s="1"/>
  <c r="O18" i="25" s="1"/>
  <c r="V83" i="20"/>
  <c r="W83" i="20"/>
  <c r="E17" i="25"/>
  <c r="F17" i="25"/>
  <c r="H17" i="25"/>
  <c r="I17" i="25"/>
  <c r="J17" i="25"/>
  <c r="K17" i="25"/>
  <c r="E18" i="25"/>
  <c r="F18" i="25"/>
  <c r="H18" i="25"/>
  <c r="I18" i="25"/>
  <c r="J18" i="25"/>
  <c r="K18" i="25"/>
  <c r="C124" i="27"/>
  <c r="C123" i="27"/>
  <c r="C122" i="27"/>
  <c r="C121" i="27"/>
  <c r="C120" i="27"/>
  <c r="C119" i="27"/>
  <c r="B120" i="27"/>
  <c r="B121" i="27"/>
  <c r="B122" i="27"/>
  <c r="B123" i="27"/>
  <c r="B124" i="27"/>
  <c r="B125" i="27"/>
  <c r="B119" i="27"/>
  <c r="M82" i="20"/>
  <c r="M76" i="20"/>
  <c r="G48" i="27"/>
  <c r="G50" i="27"/>
  <c r="G55" i="27"/>
  <c r="G81" i="27"/>
  <c r="G98" i="27"/>
  <c r="G119" i="27"/>
  <c r="G124" i="27"/>
  <c r="G125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43" i="27"/>
  <c r="H48" i="27"/>
  <c r="H55" i="27"/>
  <c r="H81" i="27"/>
  <c r="H124" i="27"/>
  <c r="H125" i="27"/>
  <c r="E48" i="27"/>
  <c r="E55" i="27"/>
  <c r="E81" i="27"/>
  <c r="E124" i="27"/>
  <c r="E125" i="27"/>
  <c r="D3" i="27"/>
  <c r="D4" i="27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2" i="27"/>
  <c r="C125" i="27"/>
  <c r="B48" i="27"/>
  <c r="B50" i="27"/>
  <c r="B55" i="27"/>
  <c r="B61" i="27"/>
  <c r="B69" i="27"/>
  <c r="B74" i="27"/>
  <c r="B75" i="27"/>
  <c r="B77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C103" i="27"/>
  <c r="C104" i="27"/>
  <c r="C105" i="27"/>
  <c r="C106" i="27"/>
  <c r="C107" i="27"/>
  <c r="C108" i="27"/>
  <c r="C109" i="27"/>
  <c r="C110" i="27"/>
  <c r="C111" i="27"/>
  <c r="C112" i="27"/>
  <c r="C113" i="27"/>
  <c r="C114" i="27"/>
  <c r="C115" i="27"/>
  <c r="C116" i="27"/>
  <c r="C117" i="27"/>
  <c r="C118" i="27"/>
  <c r="C43" i="27"/>
  <c r="C2" i="27"/>
  <c r="C3" i="27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B24" i="27"/>
  <c r="B22" i="27"/>
  <c r="W109" i="20"/>
  <c r="W108" i="20"/>
  <c r="V109" i="20"/>
  <c r="V108" i="20"/>
  <c r="P109" i="20"/>
  <c r="P108" i="20"/>
  <c r="B109" i="20"/>
  <c r="B108" i="20"/>
  <c r="B72" i="20"/>
  <c r="B81" i="20"/>
  <c r="B78" i="20"/>
  <c r="B73" i="20"/>
  <c r="B65" i="20"/>
  <c r="B60" i="20"/>
  <c r="B56" i="20"/>
  <c r="B54" i="20"/>
  <c r="B50" i="20"/>
  <c r="B46" i="20"/>
  <c r="B41" i="20"/>
  <c r="B13" i="20"/>
  <c r="B53" i="27" s="1"/>
  <c r="B14" i="20"/>
  <c r="B54" i="27" s="1"/>
  <c r="B15" i="20"/>
  <c r="B16" i="20"/>
  <c r="B56" i="27" s="1"/>
  <c r="B17" i="20"/>
  <c r="B57" i="27" s="1"/>
  <c r="B18" i="20"/>
  <c r="B58" i="27" s="1"/>
  <c r="B19" i="20"/>
  <c r="B59" i="27" s="1"/>
  <c r="B20" i="20"/>
  <c r="B60" i="27" s="1"/>
  <c r="B21" i="20"/>
  <c r="B22" i="20"/>
  <c r="B62" i="27" s="1"/>
  <c r="B23" i="20"/>
  <c r="B63" i="27" s="1"/>
  <c r="B24" i="20"/>
  <c r="B64" i="27" s="1"/>
  <c r="B25" i="20"/>
  <c r="B65" i="27" s="1"/>
  <c r="B26" i="20"/>
  <c r="B66" i="27" s="1"/>
  <c r="B27" i="20"/>
  <c r="B67" i="27" s="1"/>
  <c r="B29" i="20"/>
  <c r="B68" i="27" s="1"/>
  <c r="B30" i="20"/>
  <c r="B31" i="20"/>
  <c r="B70" i="27" s="1"/>
  <c r="B32" i="20"/>
  <c r="B71" i="27" s="1"/>
  <c r="B36" i="20"/>
  <c r="B72" i="27" s="1"/>
  <c r="B40" i="20"/>
  <c r="B73" i="27" s="1"/>
  <c r="B34" i="20"/>
  <c r="B35" i="20"/>
  <c r="B44" i="20"/>
  <c r="B76" i="27" s="1"/>
  <c r="B37" i="20"/>
  <c r="B45" i="20"/>
  <c r="B78" i="27" s="1"/>
  <c r="B57" i="20"/>
  <c r="B79" i="27" s="1"/>
  <c r="B4" i="20"/>
  <c r="B44" i="27" s="1"/>
  <c r="B5" i="20"/>
  <c r="B45" i="27" s="1"/>
  <c r="B6" i="20"/>
  <c r="B46" i="27" s="1"/>
  <c r="B7" i="20"/>
  <c r="B47" i="27" s="1"/>
  <c r="B8" i="20"/>
  <c r="B9" i="20"/>
  <c r="B49" i="27" s="1"/>
  <c r="B10" i="20"/>
  <c r="B11" i="20"/>
  <c r="B51" i="27" s="1"/>
  <c r="B12" i="20"/>
  <c r="B52" i="27" s="1"/>
  <c r="B3" i="20"/>
  <c r="B43" i="27" s="1"/>
  <c r="B2" i="27"/>
  <c r="B3" i="27"/>
  <c r="B4" i="27"/>
  <c r="B5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3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W53" i="3" l="1"/>
  <c r="X53" i="3" s="1"/>
  <c r="W54" i="3"/>
  <c r="X54" i="3" s="1"/>
  <c r="W55" i="3"/>
  <c r="X55" i="3" s="1"/>
  <c r="W56" i="3"/>
  <c r="X56" i="3" s="1"/>
  <c r="U51" i="3"/>
  <c r="U52" i="3"/>
  <c r="U53" i="3"/>
  <c r="U54" i="3"/>
  <c r="U56" i="3"/>
  <c r="W51" i="3"/>
  <c r="X51" i="3" s="1"/>
  <c r="U55" i="3"/>
  <c r="W52" i="3"/>
  <c r="X52" i="3" s="1"/>
  <c r="N17" i="25"/>
  <c r="O17" i="25" s="1"/>
  <c r="P83" i="20"/>
  <c r="D126" i="27"/>
  <c r="V55" i="3" l="1"/>
  <c r="Y55" i="3"/>
  <c r="V56" i="3"/>
  <c r="Y56" i="3"/>
  <c r="V54" i="3"/>
  <c r="Y54" i="3"/>
  <c r="V53" i="3"/>
  <c r="Y53" i="3"/>
  <c r="V52" i="3"/>
  <c r="Y52" i="3"/>
  <c r="Y51" i="3"/>
  <c r="V51" i="3"/>
  <c r="E13" i="25"/>
  <c r="F13" i="25"/>
  <c r="H13" i="25"/>
  <c r="I13" i="25"/>
  <c r="J13" i="25"/>
  <c r="K13" i="25"/>
  <c r="N13" i="25"/>
  <c r="O13" i="25" s="1"/>
  <c r="E14" i="25"/>
  <c r="F14" i="25"/>
  <c r="H14" i="25"/>
  <c r="I14" i="25"/>
  <c r="J14" i="25"/>
  <c r="K14" i="25"/>
  <c r="E15" i="25"/>
  <c r="F15" i="25"/>
  <c r="H15" i="25"/>
  <c r="I15" i="25"/>
  <c r="J15" i="25"/>
  <c r="K15" i="25"/>
  <c r="N15" i="25"/>
  <c r="O15" i="25" s="1"/>
  <c r="E16" i="25"/>
  <c r="F16" i="25"/>
  <c r="H16" i="25"/>
  <c r="I16" i="25"/>
  <c r="J16" i="25"/>
  <c r="K16" i="25"/>
  <c r="N16" i="25"/>
  <c r="O16" i="25" s="1"/>
  <c r="E12" i="25"/>
  <c r="E11" i="25"/>
  <c r="V58" i="20"/>
  <c r="V59" i="20"/>
  <c r="V60" i="20"/>
  <c r="V61" i="20"/>
  <c r="V65" i="20"/>
  <c r="V66" i="20"/>
  <c r="V73" i="20"/>
  <c r="V78" i="20"/>
  <c r="V81" i="20"/>
  <c r="V62" i="20"/>
  <c r="V67" i="20"/>
  <c r="V63" i="20"/>
  <c r="V68" i="20"/>
  <c r="V74" i="20"/>
  <c r="V64" i="20"/>
  <c r="V69" i="20"/>
  <c r="V75" i="20"/>
  <c r="V70" i="20"/>
  <c r="V71" i="20"/>
  <c r="V79" i="20"/>
  <c r="V72" i="20"/>
  <c r="V76" i="20"/>
  <c r="V82" i="20"/>
  <c r="E8" i="23"/>
  <c r="J11" i="25" l="1"/>
  <c r="K11" i="25"/>
  <c r="J12" i="25"/>
  <c r="K12" i="25"/>
  <c r="F12" i="25"/>
  <c r="H12" i="25"/>
  <c r="I12" i="25"/>
  <c r="F11" i="25"/>
  <c r="H11" i="25"/>
  <c r="I11" i="25"/>
  <c r="E10" i="25"/>
  <c r="M79" i="20"/>
  <c r="M71" i="20"/>
  <c r="C2" i="26"/>
  <c r="I10" i="25"/>
  <c r="J10" i="25"/>
  <c r="K8" i="25"/>
  <c r="K9" i="25"/>
  <c r="K10" i="25"/>
  <c r="F10" i="25"/>
  <c r="E8" i="25"/>
  <c r="E9" i="25"/>
  <c r="H10" i="25"/>
  <c r="J8" i="25"/>
  <c r="J9" i="25"/>
  <c r="M70" i="20"/>
  <c r="M75" i="20"/>
  <c r="M69" i="20"/>
  <c r="N8" i="25" s="1"/>
  <c r="O8" i="25" s="1"/>
  <c r="M74" i="20"/>
  <c r="F9" i="25"/>
  <c r="H9" i="25"/>
  <c r="I9" i="25"/>
  <c r="F8" i="25"/>
  <c r="H8" i="25"/>
  <c r="I8" i="25"/>
  <c r="H2" i="24"/>
  <c r="F4" i="24"/>
  <c r="F3" i="24"/>
  <c r="F2" i="24"/>
  <c r="N12" i="25" l="1"/>
  <c r="O12" i="25" s="1"/>
  <c r="N14" i="25"/>
  <c r="O14" i="25" s="1"/>
  <c r="N9" i="25"/>
  <c r="O9" i="25" s="1"/>
  <c r="N10" i="25"/>
  <c r="O10" i="25" s="1"/>
  <c r="V54" i="20"/>
  <c r="V55" i="20"/>
  <c r="W63" i="20"/>
  <c r="F2" i="25"/>
  <c r="I7" i="25"/>
  <c r="H3" i="25"/>
  <c r="H4" i="25"/>
  <c r="H5" i="25"/>
  <c r="H6" i="25"/>
  <c r="H7" i="25"/>
  <c r="F7" i="25"/>
  <c r="N2" i="25"/>
  <c r="O2" i="25" s="1"/>
  <c r="E7" i="25"/>
  <c r="J7" i="25"/>
  <c r="K7" i="25"/>
  <c r="K33" i="25"/>
  <c r="K3" i="25"/>
  <c r="K4" i="25"/>
  <c r="K5" i="25"/>
  <c r="K6" i="25"/>
  <c r="K2" i="25"/>
  <c r="J33" i="25"/>
  <c r="J6" i="25"/>
  <c r="E2" i="25" l="1"/>
  <c r="E3" i="25"/>
  <c r="E4" i="25"/>
  <c r="E5" i="25"/>
  <c r="E6" i="25"/>
  <c r="E33" i="25"/>
  <c r="J3" i="25"/>
  <c r="J4" i="25"/>
  <c r="J5" i="25"/>
  <c r="J2" i="25"/>
  <c r="I3" i="25"/>
  <c r="I4" i="25"/>
  <c r="I5" i="25"/>
  <c r="I6" i="25"/>
  <c r="F3" i="25"/>
  <c r="F4" i="25"/>
  <c r="F5" i="25"/>
  <c r="F6" i="25"/>
  <c r="M68" i="20"/>
  <c r="M63" i="20"/>
  <c r="N4" i="25" s="1"/>
  <c r="O4" i="25" s="1"/>
  <c r="W68" i="20"/>
  <c r="F33" i="25"/>
  <c r="I33" i="25"/>
  <c r="H33" i="25"/>
  <c r="H3" i="24"/>
  <c r="H2" i="25"/>
  <c r="I2" i="25"/>
  <c r="H4" i="24"/>
  <c r="E6" i="24"/>
  <c r="W67" i="20"/>
  <c r="P67" i="20"/>
  <c r="P63" i="20" l="1"/>
  <c r="P68" i="20"/>
  <c r="W69" i="20"/>
  <c r="W75" i="20"/>
  <c r="W70" i="20"/>
  <c r="W71" i="20"/>
  <c r="W79" i="20"/>
  <c r="W76" i="20"/>
  <c r="W82" i="20"/>
  <c r="P69" i="20"/>
  <c r="P75" i="20"/>
  <c r="P70" i="20"/>
  <c r="P71" i="20"/>
  <c r="P79" i="20"/>
  <c r="P76" i="20"/>
  <c r="P82" i="20"/>
  <c r="O33" i="25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19" i="24"/>
  <c r="I21" i="24"/>
  <c r="H21" i="24"/>
  <c r="F21" i="24"/>
  <c r="I20" i="24"/>
  <c r="H20" i="24"/>
  <c r="F20" i="24"/>
  <c r="E119" i="27" l="1"/>
  <c r="H119" i="27"/>
  <c r="H61" i="27"/>
  <c r="G61" i="27"/>
  <c r="E61" i="27"/>
  <c r="I3" i="24"/>
  <c r="I4" i="24"/>
  <c r="H5" i="24"/>
  <c r="I5" i="24"/>
  <c r="H6" i="24"/>
  <c r="I6" i="24"/>
  <c r="H7" i="24"/>
  <c r="I7" i="24"/>
  <c r="H8" i="24"/>
  <c r="I8" i="24"/>
  <c r="H9" i="24"/>
  <c r="I9" i="24"/>
  <c r="H10" i="24"/>
  <c r="I10" i="24"/>
  <c r="H11" i="24"/>
  <c r="I11" i="24"/>
  <c r="I2" i="24"/>
  <c r="F5" i="24"/>
  <c r="F6" i="24"/>
  <c r="F7" i="24"/>
  <c r="F8" i="24"/>
  <c r="F9" i="24"/>
  <c r="F10" i="24"/>
  <c r="F11" i="24"/>
  <c r="J3" i="24"/>
  <c r="L3" i="24"/>
  <c r="J4" i="24"/>
  <c r="L4" i="24"/>
  <c r="M4" i="24"/>
  <c r="N4" i="24"/>
  <c r="E5" i="24"/>
  <c r="J5" i="24"/>
  <c r="L5" i="24"/>
  <c r="M5" i="24"/>
  <c r="N5" i="24"/>
  <c r="J6" i="24"/>
  <c r="L6" i="24"/>
  <c r="M6" i="24"/>
  <c r="N6" i="24"/>
  <c r="E7" i="24"/>
  <c r="J7" i="24"/>
  <c r="L7" i="24"/>
  <c r="M7" i="24"/>
  <c r="N7" i="24"/>
  <c r="E8" i="24"/>
  <c r="J8" i="24"/>
  <c r="L8" i="24"/>
  <c r="M8" i="24"/>
  <c r="N8" i="24"/>
  <c r="E9" i="24"/>
  <c r="J9" i="24"/>
  <c r="L9" i="24"/>
  <c r="M9" i="24"/>
  <c r="N9" i="24"/>
  <c r="E10" i="24"/>
  <c r="J10" i="24"/>
  <c r="L10" i="24"/>
  <c r="M10" i="24"/>
  <c r="N10" i="24"/>
  <c r="E11" i="24"/>
  <c r="J11" i="24"/>
  <c r="L11" i="24"/>
  <c r="M11" i="24"/>
  <c r="N11" i="24"/>
  <c r="N2" i="24"/>
  <c r="M2" i="24"/>
  <c r="L2" i="24"/>
  <c r="J2" i="24"/>
  <c r="AA72" i="3"/>
  <c r="W72" i="3"/>
  <c r="U72" i="3"/>
  <c r="I72" i="3"/>
  <c r="U23" i="3"/>
  <c r="W23" i="3"/>
  <c r="AA23" i="3"/>
  <c r="Y72" i="3" l="1"/>
  <c r="Y23" i="3"/>
  <c r="AA3" i="3"/>
  <c r="AA4" i="3"/>
  <c r="AA5" i="3"/>
  <c r="AA6" i="3"/>
  <c r="AA7" i="3"/>
  <c r="AA8" i="3"/>
  <c r="AA9" i="3"/>
  <c r="AA10" i="3"/>
  <c r="AA11" i="3"/>
  <c r="AA12" i="3"/>
  <c r="AA24" i="3"/>
  <c r="AA14" i="3"/>
  <c r="AA15" i="3"/>
  <c r="AA25" i="3"/>
  <c r="AA17" i="3"/>
  <c r="AA18" i="3"/>
  <c r="AA26" i="3"/>
  <c r="AA20" i="3"/>
  <c r="AA21" i="3"/>
  <c r="AA27" i="3"/>
  <c r="AA22" i="3"/>
  <c r="AA13" i="3"/>
  <c r="AA16" i="3"/>
  <c r="AA19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3" i="3"/>
  <c r="AA74" i="3"/>
  <c r="AA75" i="3"/>
  <c r="AA76" i="3"/>
  <c r="AA77" i="3"/>
  <c r="C30" i="23"/>
  <c r="C9" i="23"/>
  <c r="C51" i="23"/>
  <c r="C52" i="23" s="1"/>
  <c r="D4" i="23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D3" i="23"/>
  <c r="E3" i="23" s="1"/>
  <c r="F3" i="23" s="1"/>
  <c r="G3" i="23" s="1"/>
  <c r="H3" i="23" s="1"/>
  <c r="I3" i="23" s="1"/>
  <c r="J3" i="23" s="1"/>
  <c r="K3" i="23" s="1"/>
  <c r="L3" i="23" s="1"/>
  <c r="M3" i="23" s="1"/>
  <c r="N3" i="23" s="1"/>
  <c r="W72" i="20"/>
  <c r="W64" i="20"/>
  <c r="W74" i="20"/>
  <c r="W62" i="20"/>
  <c r="H107" i="27" s="1"/>
  <c r="W59" i="20"/>
  <c r="H99" i="27" s="1"/>
  <c r="W53" i="20"/>
  <c r="W58" i="20"/>
  <c r="H98" i="27" s="1"/>
  <c r="W52" i="20"/>
  <c r="W66" i="20"/>
  <c r="W61" i="20"/>
  <c r="W55" i="20"/>
  <c r="H95" i="27" s="1"/>
  <c r="W51" i="20"/>
  <c r="W56" i="20"/>
  <c r="W81" i="20"/>
  <c r="W78" i="20"/>
  <c r="W73" i="20"/>
  <c r="W65" i="20"/>
  <c r="W60" i="20"/>
  <c r="W54" i="20"/>
  <c r="W57" i="20"/>
  <c r="W50" i="20"/>
  <c r="W49" i="20"/>
  <c r="W48" i="20"/>
  <c r="W47" i="20"/>
  <c r="W46" i="20"/>
  <c r="W45" i="20"/>
  <c r="W44" i="20"/>
  <c r="W43" i="20"/>
  <c r="W42" i="20"/>
  <c r="W41" i="20"/>
  <c r="W40" i="20"/>
  <c r="W39" i="20"/>
  <c r="W38" i="20"/>
  <c r="W37" i="20"/>
  <c r="W36" i="20"/>
  <c r="W35" i="20"/>
  <c r="W34" i="20"/>
  <c r="W33" i="20"/>
  <c r="W32" i="20"/>
  <c r="W31" i="20"/>
  <c r="W29" i="20"/>
  <c r="W30" i="20"/>
  <c r="W27" i="20"/>
  <c r="W26" i="20"/>
  <c r="H66" i="27" s="1"/>
  <c r="W25" i="20"/>
  <c r="W24" i="20"/>
  <c r="W28" i="20"/>
  <c r="W23" i="20"/>
  <c r="W22" i="20"/>
  <c r="H62" i="27" s="1"/>
  <c r="W21" i="20"/>
  <c r="W20" i="20"/>
  <c r="W19" i="20"/>
  <c r="H59" i="27" s="1"/>
  <c r="W18" i="20"/>
  <c r="W17" i="20"/>
  <c r="W16" i="20"/>
  <c r="W15" i="20"/>
  <c r="W14" i="20"/>
  <c r="W13" i="20"/>
  <c r="W12" i="20"/>
  <c r="W11" i="20"/>
  <c r="W10" i="20"/>
  <c r="W9" i="20"/>
  <c r="W8" i="20"/>
  <c r="W7" i="20"/>
  <c r="W6" i="20"/>
  <c r="H46" i="27" s="1"/>
  <c r="W5" i="20"/>
  <c r="W4" i="20"/>
  <c r="W3" i="20"/>
  <c r="H78" i="27" l="1"/>
  <c r="H88" i="27"/>
  <c r="H82" i="27"/>
  <c r="H92" i="27"/>
  <c r="H76" i="27"/>
  <c r="H84" i="27"/>
  <c r="H71" i="27"/>
  <c r="H91" i="27"/>
  <c r="H68" i="27"/>
  <c r="H85" i="27"/>
  <c r="H83" i="27"/>
  <c r="H60" i="27"/>
  <c r="H106" i="27"/>
  <c r="H63" i="27"/>
  <c r="H100" i="27"/>
  <c r="H52" i="27"/>
  <c r="H114" i="27"/>
  <c r="H80" i="27"/>
  <c r="H105" i="27"/>
  <c r="H89" i="27"/>
  <c r="H77" i="27"/>
  <c r="H54" i="27"/>
  <c r="H116" i="27"/>
  <c r="H65" i="27"/>
  <c r="H102" i="27"/>
  <c r="H103" i="27"/>
  <c r="H51" i="27"/>
  <c r="H113" i="27"/>
  <c r="H43" i="27"/>
  <c r="H123" i="27"/>
  <c r="H79" i="27"/>
  <c r="H93" i="27"/>
  <c r="H74" i="27"/>
  <c r="H70" i="27"/>
  <c r="H96" i="27"/>
  <c r="H87" i="27"/>
  <c r="H86" i="27"/>
  <c r="H111" i="27"/>
  <c r="H50" i="27"/>
  <c r="H44" i="27"/>
  <c r="H122" i="27"/>
  <c r="H56" i="27"/>
  <c r="H108" i="27"/>
  <c r="H67" i="27"/>
  <c r="H104" i="27"/>
  <c r="H73" i="27"/>
  <c r="H47" i="27"/>
  <c r="H118" i="27"/>
  <c r="H49" i="27"/>
  <c r="H117" i="27"/>
  <c r="H112" i="27"/>
  <c r="H69" i="27"/>
  <c r="H121" i="27"/>
  <c r="H45" i="27"/>
  <c r="H120" i="27"/>
  <c r="H57" i="27"/>
  <c r="H109" i="27"/>
  <c r="H94" i="27"/>
  <c r="H75" i="27"/>
  <c r="H58" i="27"/>
  <c r="H110" i="27"/>
  <c r="H72" i="27"/>
  <c r="H90" i="27"/>
  <c r="H97" i="27"/>
  <c r="H53" i="27"/>
  <c r="H115" i="27"/>
  <c r="H64" i="27"/>
  <c r="H101" i="27"/>
  <c r="D9" i="23"/>
  <c r="D10" i="23"/>
  <c r="D30" i="23"/>
  <c r="D31" i="23" s="1"/>
  <c r="D51" i="23"/>
  <c r="E9" i="23"/>
  <c r="V3" i="20"/>
  <c r="V4" i="20"/>
  <c r="V5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8" i="20"/>
  <c r="V24" i="20"/>
  <c r="V25" i="20"/>
  <c r="V26" i="20"/>
  <c r="V27" i="20"/>
  <c r="V30" i="20"/>
  <c r="V29" i="20"/>
  <c r="V31" i="20"/>
  <c r="V32" i="20"/>
  <c r="V33" i="20"/>
  <c r="V34" i="20"/>
  <c r="V35" i="20"/>
  <c r="V36" i="20"/>
  <c r="V37" i="20"/>
  <c r="V38" i="20"/>
  <c r="V39" i="20"/>
  <c r="V40" i="20"/>
  <c r="V41" i="20"/>
  <c r="V42" i="20"/>
  <c r="V43" i="20"/>
  <c r="V44" i="20"/>
  <c r="V45" i="20"/>
  <c r="V46" i="20"/>
  <c r="V47" i="20"/>
  <c r="V48" i="20"/>
  <c r="V49" i="20"/>
  <c r="V50" i="20"/>
  <c r="V57" i="20"/>
  <c r="V56" i="20"/>
  <c r="V51" i="20"/>
  <c r="V52" i="20"/>
  <c r="V53" i="20"/>
  <c r="P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G62" i="27" s="1"/>
  <c r="P23" i="20"/>
  <c r="P28" i="20"/>
  <c r="P24" i="20"/>
  <c r="G64" i="27" s="1"/>
  <c r="P25" i="20"/>
  <c r="P26" i="20"/>
  <c r="P27" i="20"/>
  <c r="P30" i="20"/>
  <c r="P29" i="20"/>
  <c r="P31" i="20"/>
  <c r="P33" i="20"/>
  <c r="P34" i="20"/>
  <c r="P35" i="20"/>
  <c r="P36" i="20"/>
  <c r="P37" i="20"/>
  <c r="P39" i="20"/>
  <c r="P41" i="20"/>
  <c r="P42" i="20"/>
  <c r="P43" i="20"/>
  <c r="P46" i="20"/>
  <c r="P47" i="20"/>
  <c r="P50" i="20"/>
  <c r="P57" i="20"/>
  <c r="P54" i="20"/>
  <c r="E2" i="24" s="1"/>
  <c r="P60" i="20"/>
  <c r="P65" i="20"/>
  <c r="P73" i="20"/>
  <c r="P78" i="20"/>
  <c r="P81" i="20"/>
  <c r="P56" i="20"/>
  <c r="E4" i="24" s="1"/>
  <c r="P53" i="20"/>
  <c r="P59" i="20"/>
  <c r="P62" i="20"/>
  <c r="P74" i="20"/>
  <c r="P64" i="20"/>
  <c r="E121" i="27"/>
  <c r="U3" i="3"/>
  <c r="U7" i="3"/>
  <c r="Y7" i="3" s="1"/>
  <c r="U8" i="3"/>
  <c r="Y8" i="3" s="1"/>
  <c r="U10" i="3"/>
  <c r="Y10" i="3" s="1"/>
  <c r="U11" i="3"/>
  <c r="Y11" i="3" s="1"/>
  <c r="U12" i="3"/>
  <c r="Y12" i="3" s="1"/>
  <c r="U24" i="3"/>
  <c r="Y24" i="3" s="1"/>
  <c r="U14" i="3"/>
  <c r="Y14" i="3" s="1"/>
  <c r="U15" i="3"/>
  <c r="Y15" i="3" s="1"/>
  <c r="U25" i="3"/>
  <c r="Y25" i="3" s="1"/>
  <c r="U17" i="3"/>
  <c r="Y17" i="3" s="1"/>
  <c r="U18" i="3"/>
  <c r="Y18" i="3" s="1"/>
  <c r="U26" i="3"/>
  <c r="Y26" i="3" s="1"/>
  <c r="U27" i="3"/>
  <c r="Y27" i="3" s="1"/>
  <c r="U19" i="3"/>
  <c r="Y19" i="3" s="1"/>
  <c r="U28" i="3"/>
  <c r="Y28" i="3" s="1"/>
  <c r="U29" i="3"/>
  <c r="Y29" i="3" s="1"/>
  <c r="U30" i="3"/>
  <c r="Y30" i="3" s="1"/>
  <c r="U31" i="3"/>
  <c r="Y31" i="3" s="1"/>
  <c r="U32" i="3"/>
  <c r="Y32" i="3" s="1"/>
  <c r="U33" i="3"/>
  <c r="Y33" i="3" s="1"/>
  <c r="U34" i="3"/>
  <c r="Y34" i="3" s="1"/>
  <c r="U35" i="3"/>
  <c r="Y35" i="3" s="1"/>
  <c r="U36" i="3"/>
  <c r="Y36" i="3" s="1"/>
  <c r="U37" i="3"/>
  <c r="Y37" i="3" s="1"/>
  <c r="U38" i="3"/>
  <c r="Y38" i="3" s="1"/>
  <c r="U39" i="3"/>
  <c r="Y39" i="3" s="1"/>
  <c r="U40" i="3"/>
  <c r="Y40" i="3" s="1"/>
  <c r="U41" i="3"/>
  <c r="Y41" i="3" s="1"/>
  <c r="U42" i="3"/>
  <c r="Y42" i="3" s="1"/>
  <c r="U43" i="3"/>
  <c r="Y43" i="3" s="1"/>
  <c r="U44" i="3"/>
  <c r="Y44" i="3" s="1"/>
  <c r="U45" i="3"/>
  <c r="Y45" i="3" s="1"/>
  <c r="U46" i="3"/>
  <c r="Y46" i="3" s="1"/>
  <c r="U47" i="3"/>
  <c r="Y47" i="3" s="1"/>
  <c r="U48" i="3"/>
  <c r="Y48" i="3" s="1"/>
  <c r="U49" i="3"/>
  <c r="Y49" i="3" s="1"/>
  <c r="U50" i="3"/>
  <c r="Y50" i="3" s="1"/>
  <c r="U57" i="3"/>
  <c r="Y57" i="3" s="1"/>
  <c r="U58" i="3"/>
  <c r="Y58" i="3" s="1"/>
  <c r="U59" i="3"/>
  <c r="Y59" i="3" s="1"/>
  <c r="U60" i="3"/>
  <c r="Y60" i="3" s="1"/>
  <c r="U61" i="3"/>
  <c r="Y61" i="3" s="1"/>
  <c r="U62" i="3"/>
  <c r="Y62" i="3" s="1"/>
  <c r="U63" i="3"/>
  <c r="Y63" i="3" s="1"/>
  <c r="U64" i="3"/>
  <c r="Y64" i="3" s="1"/>
  <c r="U65" i="3"/>
  <c r="Y65" i="3" s="1"/>
  <c r="U66" i="3"/>
  <c r="Y66" i="3" s="1"/>
  <c r="U67" i="3"/>
  <c r="Y67" i="3" s="1"/>
  <c r="U68" i="3"/>
  <c r="Y68" i="3" s="1"/>
  <c r="U69" i="3"/>
  <c r="Y69" i="3" s="1"/>
  <c r="U70" i="3"/>
  <c r="Y70" i="3" s="1"/>
  <c r="U71" i="3"/>
  <c r="Y71" i="3" s="1"/>
  <c r="U73" i="3"/>
  <c r="Y73" i="3" s="1"/>
  <c r="U74" i="3"/>
  <c r="Y74" i="3" s="1"/>
  <c r="U75" i="3"/>
  <c r="Y75" i="3" s="1"/>
  <c r="U76" i="3"/>
  <c r="Y76" i="3" s="1"/>
  <c r="U77" i="3"/>
  <c r="Y77" i="3" s="1"/>
  <c r="W3" i="3"/>
  <c r="W7" i="3"/>
  <c r="X7" i="3" s="1"/>
  <c r="W8" i="3"/>
  <c r="X8" i="3" s="1"/>
  <c r="W10" i="3"/>
  <c r="X10" i="3" s="1"/>
  <c r="W11" i="3"/>
  <c r="X11" i="3" s="1"/>
  <c r="W12" i="3"/>
  <c r="X12" i="3" s="1"/>
  <c r="W24" i="3"/>
  <c r="W14" i="3"/>
  <c r="X14" i="3" s="1"/>
  <c r="W15" i="3"/>
  <c r="X15" i="3" s="1"/>
  <c r="W25" i="3"/>
  <c r="W17" i="3"/>
  <c r="X17" i="3" s="1"/>
  <c r="W18" i="3"/>
  <c r="X18" i="3" s="1"/>
  <c r="W26" i="3"/>
  <c r="W27" i="3"/>
  <c r="W19" i="3"/>
  <c r="X19" i="3" s="1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3" i="3"/>
  <c r="W74" i="3"/>
  <c r="W75" i="3"/>
  <c r="W76" i="3"/>
  <c r="W77" i="3"/>
  <c r="I28" i="3"/>
  <c r="I19" i="3"/>
  <c r="I16" i="3"/>
  <c r="I17" i="3"/>
  <c r="I13" i="3"/>
  <c r="I77" i="3"/>
  <c r="I76" i="3"/>
  <c r="I75" i="3"/>
  <c r="I74" i="3"/>
  <c r="I73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0" i="3"/>
  <c r="I49" i="3"/>
  <c r="I48" i="3"/>
  <c r="I47" i="3"/>
  <c r="I2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2" i="3"/>
  <c r="I27" i="3"/>
  <c r="I21" i="3"/>
  <c r="I20" i="3"/>
  <c r="I26" i="3"/>
  <c r="I18" i="3"/>
  <c r="I25" i="3"/>
  <c r="I15" i="3"/>
  <c r="I14" i="3"/>
  <c r="I12" i="3"/>
  <c r="I11" i="3"/>
  <c r="I10" i="3"/>
  <c r="I9" i="3"/>
  <c r="I8" i="3"/>
  <c r="I7" i="3"/>
  <c r="I6" i="3"/>
  <c r="I5" i="3"/>
  <c r="I4" i="3"/>
  <c r="I3" i="3"/>
  <c r="M58" i="20"/>
  <c r="P58" i="20" s="1"/>
  <c r="E98" i="27" s="1"/>
  <c r="M52" i="20"/>
  <c r="M66" i="20"/>
  <c r="P66" i="20" s="1"/>
  <c r="E103" i="27" s="1"/>
  <c r="M61" i="20"/>
  <c r="P61" i="20" s="1"/>
  <c r="M55" i="20"/>
  <c r="M51" i="20"/>
  <c r="M49" i="20"/>
  <c r="M48" i="20"/>
  <c r="M45" i="20"/>
  <c r="P45" i="20" s="1"/>
  <c r="M44" i="20"/>
  <c r="P44" i="20" s="1"/>
  <c r="G76" i="27" s="1"/>
  <c r="M40" i="20"/>
  <c r="P40" i="20" s="1"/>
  <c r="M38" i="20"/>
  <c r="P38" i="20" s="1"/>
  <c r="M32" i="20"/>
  <c r="P32" i="20" s="1"/>
  <c r="G83" i="27" l="1"/>
  <c r="G71" i="27"/>
  <c r="G84" i="27"/>
  <c r="G68" i="27"/>
  <c r="G85" i="27"/>
  <c r="E111" i="27"/>
  <c r="E50" i="27"/>
  <c r="G70" i="27"/>
  <c r="G96" i="27"/>
  <c r="E96" i="27"/>
  <c r="G59" i="27"/>
  <c r="G111" i="27"/>
  <c r="G47" i="27"/>
  <c r="E118" i="27"/>
  <c r="G118" i="27"/>
  <c r="G58" i="27"/>
  <c r="E110" i="27"/>
  <c r="G110" i="27"/>
  <c r="G46" i="27"/>
  <c r="G121" i="27"/>
  <c r="G57" i="27"/>
  <c r="E109" i="27"/>
  <c r="G109" i="27"/>
  <c r="G45" i="27"/>
  <c r="G120" i="27"/>
  <c r="E120" i="27"/>
  <c r="G94" i="27"/>
  <c r="E75" i="27"/>
  <c r="G75" i="27"/>
  <c r="G87" i="27"/>
  <c r="E86" i="27"/>
  <c r="G86" i="27"/>
  <c r="G67" i="27"/>
  <c r="G104" i="27"/>
  <c r="E104" i="27"/>
  <c r="G56" i="27"/>
  <c r="G108" i="27"/>
  <c r="E108" i="27"/>
  <c r="G44" i="27"/>
  <c r="G122" i="27"/>
  <c r="E122" i="27"/>
  <c r="G66" i="27"/>
  <c r="G103" i="27"/>
  <c r="G43" i="27"/>
  <c r="G123" i="27"/>
  <c r="E123" i="27"/>
  <c r="G65" i="27"/>
  <c r="G102" i="27"/>
  <c r="E102" i="27"/>
  <c r="G54" i="27"/>
  <c r="G116" i="27"/>
  <c r="E116" i="27"/>
  <c r="G53" i="27"/>
  <c r="G115" i="27"/>
  <c r="E115" i="27"/>
  <c r="G80" i="27"/>
  <c r="G105" i="27"/>
  <c r="E105" i="27"/>
  <c r="G52" i="27"/>
  <c r="G114" i="27"/>
  <c r="E114" i="27"/>
  <c r="E90" i="27"/>
  <c r="G90" i="27"/>
  <c r="G63" i="27"/>
  <c r="G100" i="27"/>
  <c r="E100" i="27"/>
  <c r="G51" i="27"/>
  <c r="E113" i="27"/>
  <c r="G113" i="27"/>
  <c r="G49" i="27"/>
  <c r="G117" i="27"/>
  <c r="E117" i="27"/>
  <c r="G112" i="27"/>
  <c r="G69" i="27"/>
  <c r="E69" i="27"/>
  <c r="G82" i="27"/>
  <c r="G60" i="27"/>
  <c r="G106" i="27"/>
  <c r="E106" i="27"/>
  <c r="I79" i="3"/>
  <c r="X3" i="3"/>
  <c r="E79" i="27"/>
  <c r="G79" i="27"/>
  <c r="E107" i="27"/>
  <c r="G107" i="27"/>
  <c r="E99" i="27"/>
  <c r="G99" i="27"/>
  <c r="E101" i="27"/>
  <c r="G101" i="27"/>
  <c r="Y3" i="3"/>
  <c r="E84" i="27"/>
  <c r="E64" i="27"/>
  <c r="E53" i="27"/>
  <c r="E80" i="27"/>
  <c r="E52" i="27"/>
  <c r="E63" i="27"/>
  <c r="E51" i="27"/>
  <c r="E62" i="27"/>
  <c r="E49" i="27"/>
  <c r="E54" i="27"/>
  <c r="E76" i="27"/>
  <c r="W9" i="3"/>
  <c r="X9" i="3" s="1"/>
  <c r="E112" i="27"/>
  <c r="U13" i="3"/>
  <c r="Y13" i="3" s="1"/>
  <c r="E82" i="27"/>
  <c r="E60" i="27"/>
  <c r="E65" i="27"/>
  <c r="E70" i="27"/>
  <c r="E59" i="27"/>
  <c r="E47" i="27"/>
  <c r="U21" i="3"/>
  <c r="Y21" i="3" s="1"/>
  <c r="E85" i="27"/>
  <c r="E68" i="27"/>
  <c r="E58" i="27"/>
  <c r="E46" i="27"/>
  <c r="E57" i="27"/>
  <c r="E45" i="27"/>
  <c r="E66" i="27"/>
  <c r="E43" i="27"/>
  <c r="E71" i="27"/>
  <c r="E83" i="27"/>
  <c r="E94" i="27"/>
  <c r="U16" i="3"/>
  <c r="Y16" i="3" s="1"/>
  <c r="E87" i="27"/>
  <c r="E67" i="27"/>
  <c r="E56" i="27"/>
  <c r="E44" i="27"/>
  <c r="N11" i="25"/>
  <c r="O11" i="25" s="1"/>
  <c r="N3" i="24"/>
  <c r="P52" i="20"/>
  <c r="N7" i="25"/>
  <c r="O7" i="25" s="1"/>
  <c r="P48" i="20"/>
  <c r="G88" i="27" s="1"/>
  <c r="N3" i="25"/>
  <c r="O3" i="25" s="1"/>
  <c r="P49" i="20"/>
  <c r="N5" i="25"/>
  <c r="O5" i="25" s="1"/>
  <c r="P51" i="20"/>
  <c r="N6" i="25"/>
  <c r="O6" i="25" s="1"/>
  <c r="W6" i="3"/>
  <c r="X6" i="3" s="1"/>
  <c r="U9" i="3"/>
  <c r="Y9" i="3" s="1"/>
  <c r="U6" i="3"/>
  <c r="Y6" i="3" s="1"/>
  <c r="P55" i="20"/>
  <c r="M3" i="24"/>
  <c r="F9" i="23"/>
  <c r="E10" i="23"/>
  <c r="E51" i="23"/>
  <c r="D52" i="23"/>
  <c r="E30" i="23"/>
  <c r="W20" i="3"/>
  <c r="X20" i="3" s="1"/>
  <c r="W22" i="3"/>
  <c r="X22" i="3" s="1"/>
  <c r="W5" i="3"/>
  <c r="X5" i="3" s="1"/>
  <c r="W16" i="3"/>
  <c r="X16" i="3" s="1"/>
  <c r="W13" i="3"/>
  <c r="X13" i="3" s="1"/>
  <c r="V12" i="3"/>
  <c r="V8" i="3"/>
  <c r="V11" i="3"/>
  <c r="V3" i="3"/>
  <c r="V19" i="3"/>
  <c r="V18" i="3"/>
  <c r="V10" i="3"/>
  <c r="V17" i="3"/>
  <c r="V15" i="3"/>
  <c r="V7" i="3"/>
  <c r="V14" i="3"/>
  <c r="U22" i="3"/>
  <c r="Y22" i="3" s="1"/>
  <c r="W21" i="3"/>
  <c r="X21" i="3" s="1"/>
  <c r="U5" i="3"/>
  <c r="Y5" i="3" s="1"/>
  <c r="U20" i="3"/>
  <c r="Y20" i="3" s="1"/>
  <c r="G87" i="19"/>
  <c r="G86" i="19"/>
  <c r="G85" i="19"/>
  <c r="G84" i="19"/>
  <c r="G83" i="19"/>
  <c r="G82" i="19"/>
  <c r="G81" i="19"/>
  <c r="AH76" i="19"/>
  <c r="AH75" i="19"/>
  <c r="AH74" i="19"/>
  <c r="AI9" i="19" s="1"/>
  <c r="AJ9" i="19" s="1"/>
  <c r="AK9" i="19" s="1"/>
  <c r="AL9" i="19" s="1"/>
  <c r="AR67" i="19"/>
  <c r="AR68" i="19" s="1"/>
  <c r="AR69" i="19" s="1"/>
  <c r="AP67" i="19"/>
  <c r="AP68" i="19" s="1"/>
  <c r="AO67" i="19"/>
  <c r="AO68" i="19" s="1"/>
  <c r="H67" i="19"/>
  <c r="AR59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AR37" i="19"/>
  <c r="G37" i="19"/>
  <c r="AR36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AQ23" i="19"/>
  <c r="G23" i="19"/>
  <c r="AQ22" i="19"/>
  <c r="G22" i="19"/>
  <c r="G21" i="19"/>
  <c r="AQ20" i="19"/>
  <c r="G20" i="19"/>
  <c r="AM19" i="19"/>
  <c r="AL19" i="19"/>
  <c r="G19" i="19"/>
  <c r="AM18" i="19"/>
  <c r="AN18" i="19" s="1"/>
  <c r="AN67" i="19" s="1"/>
  <c r="AL18" i="19"/>
  <c r="AQ18" i="19" s="1"/>
  <c r="G18" i="19"/>
  <c r="AQ17" i="19"/>
  <c r="G17" i="19"/>
  <c r="AQ16" i="19"/>
  <c r="G16" i="19"/>
  <c r="AL15" i="19"/>
  <c r="AM15" i="19" s="1"/>
  <c r="AK15" i="19"/>
  <c r="G15" i="19"/>
  <c r="AK14" i="19"/>
  <c r="AL14" i="19" s="1"/>
  <c r="AJ14" i="19"/>
  <c r="G14" i="19"/>
  <c r="AJ13" i="19"/>
  <c r="AK13" i="19" s="1"/>
  <c r="AI13" i="19"/>
  <c r="AQ13" i="19" s="1"/>
  <c r="G13" i="19"/>
  <c r="AJ12" i="19"/>
  <c r="AK12" i="19" s="1"/>
  <c r="AI12" i="19"/>
  <c r="AQ12" i="19" s="1"/>
  <c r="G12" i="19"/>
  <c r="AI11" i="19"/>
  <c r="G11" i="19"/>
  <c r="AQ10" i="19"/>
  <c r="G10" i="19"/>
  <c r="AH9" i="19"/>
  <c r="AQ9" i="19" s="1"/>
  <c r="G9" i="19"/>
  <c r="AG8" i="19"/>
  <c r="G8" i="19"/>
  <c r="AH7" i="19"/>
  <c r="AG7" i="19"/>
  <c r="AF7" i="19"/>
  <c r="AQ7" i="19" s="1"/>
  <c r="G7" i="19"/>
  <c r="AE4" i="19"/>
  <c r="G4" i="19"/>
  <c r="AE3" i="19"/>
  <c r="G3" i="19"/>
  <c r="G67" i="19" s="1"/>
  <c r="BA1" i="19"/>
  <c r="AZ1" i="19"/>
  <c r="AY1" i="19"/>
  <c r="AX1" i="19"/>
  <c r="AW1" i="19"/>
  <c r="AV1" i="19"/>
  <c r="BB87" i="19" s="1"/>
  <c r="H6" i="18"/>
  <c r="E88" i="27" l="1"/>
  <c r="G92" i="27"/>
  <c r="G91" i="27"/>
  <c r="G97" i="27"/>
  <c r="G95" i="27"/>
  <c r="E95" i="27"/>
  <c r="G72" i="27"/>
  <c r="G93" i="27"/>
  <c r="G74" i="27"/>
  <c r="E74" i="27"/>
  <c r="E72" i="27"/>
  <c r="G78" i="27"/>
  <c r="G73" i="27"/>
  <c r="E73" i="27"/>
  <c r="G89" i="27"/>
  <c r="E77" i="27"/>
  <c r="G77" i="27"/>
  <c r="E78" i="27"/>
  <c r="V16" i="3"/>
  <c r="V21" i="3"/>
  <c r="V13" i="3"/>
  <c r="E93" i="27"/>
  <c r="E97" i="27"/>
  <c r="E89" i="27"/>
  <c r="E92" i="27"/>
  <c r="E91" i="27"/>
  <c r="E3" i="24"/>
  <c r="U4" i="3"/>
  <c r="U79" i="3" s="1"/>
  <c r="W4" i="3"/>
  <c r="W79" i="3" s="1"/>
  <c r="AQ15" i="19"/>
  <c r="AP69" i="19"/>
  <c r="AO69" i="19"/>
  <c r="BB82" i="19"/>
  <c r="AQ19" i="19"/>
  <c r="V9" i="3"/>
  <c r="V6" i="3"/>
  <c r="F30" i="23"/>
  <c r="E31" i="23"/>
  <c r="F51" i="23"/>
  <c r="E52" i="23"/>
  <c r="G9" i="23"/>
  <c r="F10" i="23"/>
  <c r="V20" i="3"/>
  <c r="V5" i="3"/>
  <c r="V22" i="3"/>
  <c r="AN68" i="19"/>
  <c r="AN69" i="19"/>
  <c r="BB84" i="19"/>
  <c r="BB19" i="19"/>
  <c r="AF3" i="19"/>
  <c r="BB30" i="19"/>
  <c r="BB49" i="19"/>
  <c r="BB13" i="19"/>
  <c r="BB18" i="19"/>
  <c r="BB20" i="19"/>
  <c r="BB23" i="19"/>
  <c r="BB27" i="19"/>
  <c r="BB31" i="19"/>
  <c r="BB35" i="19"/>
  <c r="BB38" i="19"/>
  <c r="BB42" i="19"/>
  <c r="BB46" i="19"/>
  <c r="BB50" i="19"/>
  <c r="BB54" i="19"/>
  <c r="BB58" i="19"/>
  <c r="BB36" i="19"/>
  <c r="BB83" i="19"/>
  <c r="BB14" i="19"/>
  <c r="BB26" i="19"/>
  <c r="BB37" i="19"/>
  <c r="BB45" i="19"/>
  <c r="BB16" i="19"/>
  <c r="BB81" i="19"/>
  <c r="BB85" i="19"/>
  <c r="BB3" i="19"/>
  <c r="AQ14" i="19"/>
  <c r="BB22" i="19"/>
  <c r="AF4" i="19"/>
  <c r="AG4" i="19" s="1"/>
  <c r="AH4" i="19" s="1"/>
  <c r="AI4" i="19" s="1"/>
  <c r="BB34" i="19"/>
  <c r="BB41" i="19"/>
  <c r="BB53" i="19"/>
  <c r="BB57" i="19"/>
  <c r="AE67" i="19"/>
  <c r="AJ11" i="19"/>
  <c r="BB7" i="19"/>
  <c r="BB8" i="19"/>
  <c r="BB9" i="19"/>
  <c r="BB12" i="19"/>
  <c r="BB17" i="19"/>
  <c r="BB21" i="19"/>
  <c r="BB24" i="19"/>
  <c r="BB28" i="19"/>
  <c r="BB32" i="19"/>
  <c r="BB39" i="19"/>
  <c r="BB43" i="19"/>
  <c r="BB47" i="19"/>
  <c r="BB51" i="19"/>
  <c r="BB55" i="19"/>
  <c r="BB86" i="19"/>
  <c r="BB4" i="19"/>
  <c r="BB59" i="19"/>
  <c r="AH8" i="19"/>
  <c r="AI8" i="19" s="1"/>
  <c r="AJ8" i="19" s="1"/>
  <c r="BB10" i="19"/>
  <c r="BB11" i="19"/>
  <c r="BB15" i="19"/>
  <c r="BB25" i="19"/>
  <c r="BB29" i="19"/>
  <c r="BB33" i="19"/>
  <c r="BB40" i="19"/>
  <c r="BB44" i="19"/>
  <c r="BB48" i="19"/>
  <c r="BB52" i="19"/>
  <c r="BB56" i="19"/>
  <c r="G33" i="18"/>
  <c r="H21" i="18"/>
  <c r="H33" i="18" s="1"/>
  <c r="I33" i="18" s="1"/>
  <c r="G126" i="27" l="1"/>
  <c r="X4" i="3"/>
  <c r="W80" i="3"/>
  <c r="W81" i="3" s="1"/>
  <c r="Y4" i="3"/>
  <c r="U80" i="3"/>
  <c r="U81" i="3" s="1"/>
  <c r="E126" i="27"/>
  <c r="V4" i="3"/>
  <c r="H9" i="23"/>
  <c r="G51" i="23"/>
  <c r="F52" i="23"/>
  <c r="G30" i="23"/>
  <c r="F31" i="23"/>
  <c r="AJ67" i="19"/>
  <c r="AK8" i="19"/>
  <c r="AQ8" i="19"/>
  <c r="AQ4" i="19"/>
  <c r="AK11" i="19"/>
  <c r="AL11" i="19" s="1"/>
  <c r="AE68" i="19"/>
  <c r="AE69" i="19" s="1"/>
  <c r="AF67" i="19"/>
  <c r="AG3" i="19"/>
  <c r="U6" i="17"/>
  <c r="T6" i="17"/>
  <c r="S6" i="17"/>
  <c r="R6" i="17"/>
  <c r="Q6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BZ33" i="17"/>
  <c r="BY33" i="17"/>
  <c r="BX33" i="17"/>
  <c r="BW33" i="17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BZ30" i="17"/>
  <c r="BZ36" i="17" s="1"/>
  <c r="BY30" i="17"/>
  <c r="BY36" i="17" s="1"/>
  <c r="BX30" i="17"/>
  <c r="BX36" i="17" s="1"/>
  <c r="BW30" i="17"/>
  <c r="BW36" i="17" s="1"/>
  <c r="BV30" i="17"/>
  <c r="BV36" i="17" s="1"/>
  <c r="BU30" i="17"/>
  <c r="BU36" i="17" s="1"/>
  <c r="BT30" i="17"/>
  <c r="BT36" i="17" s="1"/>
  <c r="BS30" i="17"/>
  <c r="BS36" i="17" s="1"/>
  <c r="BR30" i="17"/>
  <c r="BR36" i="17" s="1"/>
  <c r="BQ30" i="17"/>
  <c r="BQ36" i="17" s="1"/>
  <c r="BP30" i="17"/>
  <c r="BP36" i="17" s="1"/>
  <c r="BO30" i="17"/>
  <c r="BO36" i="17" s="1"/>
  <c r="BN30" i="17"/>
  <c r="BN36" i="17" s="1"/>
  <c r="BM30" i="17"/>
  <c r="BM36" i="17" s="1"/>
  <c r="BL30" i="17"/>
  <c r="BL36" i="17" s="1"/>
  <c r="BK30" i="17"/>
  <c r="BK36" i="17" s="1"/>
  <c r="BJ30" i="17"/>
  <c r="BJ36" i="17" s="1"/>
  <c r="BI30" i="17"/>
  <c r="BI36" i="17" s="1"/>
  <c r="BH30" i="17"/>
  <c r="BH36" i="17" s="1"/>
  <c r="BG30" i="17"/>
  <c r="BG36" i="17" s="1"/>
  <c r="BF30" i="17"/>
  <c r="BF36" i="17" s="1"/>
  <c r="BE30" i="17"/>
  <c r="BE36" i="17" s="1"/>
  <c r="BD30" i="17"/>
  <c r="BD36" i="17" s="1"/>
  <c r="BC30" i="17"/>
  <c r="BC36" i="17" s="1"/>
  <c r="BB30" i="17"/>
  <c r="BB35" i="17" s="1"/>
  <c r="BA30" i="17"/>
  <c r="BA36" i="17" s="1"/>
  <c r="AZ30" i="17"/>
  <c r="AZ36" i="17" s="1"/>
  <c r="AY30" i="17"/>
  <c r="AY36" i="17" s="1"/>
  <c r="AX30" i="17"/>
  <c r="AX36" i="17" s="1"/>
  <c r="AW30" i="17"/>
  <c r="AW36" i="17" s="1"/>
  <c r="AV30" i="17"/>
  <c r="AV36" i="17" s="1"/>
  <c r="AU30" i="17"/>
  <c r="AU35" i="17" s="1"/>
  <c r="AT30" i="17"/>
  <c r="AS30" i="17"/>
  <c r="AS36" i="17" s="1"/>
  <c r="AR30" i="17"/>
  <c r="AR36" i="17" s="1"/>
  <c r="AQ30" i="17"/>
  <c r="AQ36" i="17" s="1"/>
  <c r="AP30" i="17"/>
  <c r="AP36" i="17" s="1"/>
  <c r="AO30" i="17"/>
  <c r="AO36" i="17" s="1"/>
  <c r="AN30" i="17"/>
  <c r="AM30" i="17"/>
  <c r="AM36" i="17" s="1"/>
  <c r="AL30" i="17"/>
  <c r="AL36" i="17" s="1"/>
  <c r="AK30" i="17"/>
  <c r="AK36" i="17" s="1"/>
  <c r="AJ30" i="17"/>
  <c r="AJ36" i="17" s="1"/>
  <c r="AI30" i="17"/>
  <c r="AI36" i="17" s="1"/>
  <c r="AH30" i="17"/>
  <c r="AH36" i="17" s="1"/>
  <c r="AG30" i="17"/>
  <c r="AG36" i="17" s="1"/>
  <c r="AF30" i="17"/>
  <c r="AF36" i="17" s="1"/>
  <c r="AE30" i="17"/>
  <c r="AE36" i="17" s="1"/>
  <c r="AD30" i="17"/>
  <c r="AD36" i="17" s="1"/>
  <c r="AC30" i="17"/>
  <c r="AC36" i="17" s="1"/>
  <c r="AB30" i="17"/>
  <c r="AB36" i="17" s="1"/>
  <c r="AA30" i="17"/>
  <c r="AA36" i="17" s="1"/>
  <c r="Z30" i="17"/>
  <c r="Z36" i="17" s="1"/>
  <c r="Y30" i="17"/>
  <c r="Y36" i="17" s="1"/>
  <c r="X30" i="17"/>
  <c r="X36" i="17" s="1"/>
  <c r="W30" i="17"/>
  <c r="W36" i="17" s="1"/>
  <c r="U28" i="17"/>
  <c r="T28" i="17"/>
  <c r="S28" i="17"/>
  <c r="R28" i="17"/>
  <c r="Q28" i="17"/>
  <c r="P28" i="17"/>
  <c r="V28" i="17" s="1"/>
  <c r="U27" i="17"/>
  <c r="T27" i="17"/>
  <c r="S27" i="17"/>
  <c r="R27" i="17"/>
  <c r="Q27" i="17"/>
  <c r="P27" i="17"/>
  <c r="U26" i="17"/>
  <c r="T26" i="17"/>
  <c r="S26" i="17"/>
  <c r="R26" i="17"/>
  <c r="Q26" i="17"/>
  <c r="P26" i="17"/>
  <c r="G26" i="17"/>
  <c r="U25" i="17"/>
  <c r="T25" i="17"/>
  <c r="S25" i="17"/>
  <c r="R25" i="17"/>
  <c r="Q25" i="17"/>
  <c r="P25" i="17"/>
  <c r="G25" i="17"/>
  <c r="U24" i="17"/>
  <c r="T24" i="17"/>
  <c r="S24" i="17"/>
  <c r="R24" i="17"/>
  <c r="Q24" i="17"/>
  <c r="P24" i="17"/>
  <c r="G24" i="17"/>
  <c r="U23" i="17"/>
  <c r="T23" i="17"/>
  <c r="V23" i="17" s="1"/>
  <c r="S23" i="17"/>
  <c r="R23" i="17"/>
  <c r="Q23" i="17"/>
  <c r="P23" i="17"/>
  <c r="G23" i="17"/>
  <c r="U22" i="17"/>
  <c r="T22" i="17"/>
  <c r="S22" i="17"/>
  <c r="R22" i="17"/>
  <c r="Q22" i="17"/>
  <c r="P22" i="17"/>
  <c r="G22" i="17"/>
  <c r="U21" i="17"/>
  <c r="T21" i="17"/>
  <c r="S21" i="17"/>
  <c r="R21" i="17"/>
  <c r="Q21" i="17"/>
  <c r="P21" i="17"/>
  <c r="G21" i="17"/>
  <c r="U20" i="17"/>
  <c r="T20" i="17"/>
  <c r="S20" i="17"/>
  <c r="R20" i="17"/>
  <c r="Q20" i="17"/>
  <c r="P20" i="17"/>
  <c r="G20" i="17"/>
  <c r="U19" i="17"/>
  <c r="T19" i="17"/>
  <c r="S19" i="17"/>
  <c r="R19" i="17"/>
  <c r="Q19" i="17"/>
  <c r="P19" i="17"/>
  <c r="G19" i="17"/>
  <c r="U18" i="17"/>
  <c r="T18" i="17"/>
  <c r="S18" i="17"/>
  <c r="R18" i="17"/>
  <c r="Q18" i="17"/>
  <c r="P18" i="17"/>
  <c r="G18" i="17"/>
  <c r="U17" i="17"/>
  <c r="T17" i="17"/>
  <c r="S17" i="17"/>
  <c r="R17" i="17"/>
  <c r="Q17" i="17"/>
  <c r="U16" i="17"/>
  <c r="T16" i="17"/>
  <c r="S16" i="17"/>
  <c r="R16" i="17"/>
  <c r="Q16" i="17"/>
  <c r="P16" i="17"/>
  <c r="G16" i="17"/>
  <c r="U15" i="17"/>
  <c r="T15" i="17"/>
  <c r="S15" i="17"/>
  <c r="R15" i="17"/>
  <c r="Q15" i="17"/>
  <c r="P15" i="17"/>
  <c r="G15" i="17"/>
  <c r="U14" i="17"/>
  <c r="T14" i="17"/>
  <c r="S14" i="17"/>
  <c r="R14" i="17"/>
  <c r="Q14" i="17"/>
  <c r="P14" i="17"/>
  <c r="G14" i="17"/>
  <c r="U13" i="17"/>
  <c r="T13" i="17"/>
  <c r="S13" i="17"/>
  <c r="R13" i="17"/>
  <c r="Q13" i="17"/>
  <c r="P13" i="17"/>
  <c r="V13" i="17" s="1"/>
  <c r="G13" i="17"/>
  <c r="U12" i="17"/>
  <c r="T12" i="17"/>
  <c r="S12" i="17"/>
  <c r="R12" i="17"/>
  <c r="Q12" i="17"/>
  <c r="U11" i="17"/>
  <c r="T11" i="17"/>
  <c r="S11" i="17"/>
  <c r="R11" i="17"/>
  <c r="Q11" i="17"/>
  <c r="P11" i="17"/>
  <c r="V11" i="17" s="1"/>
  <c r="G11" i="17"/>
  <c r="U10" i="17"/>
  <c r="T10" i="17"/>
  <c r="S10" i="17"/>
  <c r="R10" i="17"/>
  <c r="Q10" i="17"/>
  <c r="P10" i="17"/>
  <c r="G10" i="17"/>
  <c r="U9" i="17"/>
  <c r="T9" i="17"/>
  <c r="S9" i="17"/>
  <c r="R9" i="17"/>
  <c r="Q9" i="17"/>
  <c r="U8" i="17"/>
  <c r="T8" i="17"/>
  <c r="S8" i="17"/>
  <c r="R8" i="17"/>
  <c r="Q8" i="17"/>
  <c r="V8" i="17" s="1"/>
  <c r="P8" i="17"/>
  <c r="G8" i="17"/>
  <c r="U7" i="17"/>
  <c r="T7" i="17"/>
  <c r="S7" i="17"/>
  <c r="R7" i="17"/>
  <c r="Q7" i="17"/>
  <c r="P7" i="17"/>
  <c r="V7" i="17" s="1"/>
  <c r="G7" i="17"/>
  <c r="P6" i="17"/>
  <c r="G6" i="17"/>
  <c r="U5" i="17"/>
  <c r="T5" i="17"/>
  <c r="S5" i="17"/>
  <c r="R5" i="17"/>
  <c r="Q5" i="17"/>
  <c r="V5" i="17" s="1"/>
  <c r="U4" i="17"/>
  <c r="T4" i="17"/>
  <c r="S4" i="17"/>
  <c r="R4" i="17"/>
  <c r="Q4" i="17"/>
  <c r="V4" i="17" s="1"/>
  <c r="BZ3" i="17"/>
  <c r="BV3" i="17"/>
  <c r="BW3" i="17" s="1"/>
  <c r="BX3" i="17" s="1"/>
  <c r="BR3" i="17"/>
  <c r="BS3" i="17" s="1"/>
  <c r="BT3" i="17" s="1"/>
  <c r="BN3" i="17"/>
  <c r="BO3" i="17" s="1"/>
  <c r="BP3" i="17" s="1"/>
  <c r="BJ3" i="17"/>
  <c r="BK3" i="17" s="1"/>
  <c r="BL3" i="17" s="1"/>
  <c r="BF3" i="17"/>
  <c r="BG3" i="17" s="1"/>
  <c r="BH3" i="17" s="1"/>
  <c r="BB3" i="17"/>
  <c r="BC3" i="17" s="1"/>
  <c r="BD3" i="17" s="1"/>
  <c r="AX3" i="17"/>
  <c r="AY3" i="17" s="1"/>
  <c r="AZ3" i="17" s="1"/>
  <c r="AT3" i="17"/>
  <c r="AU3" i="17" s="1"/>
  <c r="AV3" i="17" s="1"/>
  <c r="AP3" i="17"/>
  <c r="AQ3" i="17" s="1"/>
  <c r="AR3" i="17" s="1"/>
  <c r="AL3" i="17"/>
  <c r="AM3" i="17" s="1"/>
  <c r="AN3" i="17" s="1"/>
  <c r="AH3" i="17"/>
  <c r="AI3" i="17" s="1"/>
  <c r="AJ3" i="17" s="1"/>
  <c r="AD3" i="17"/>
  <c r="AE3" i="17" s="1"/>
  <c r="AF3" i="17" s="1"/>
  <c r="Z3" i="17"/>
  <c r="AA3" i="17" s="1"/>
  <c r="AB3" i="17" s="1"/>
  <c r="V15" i="17" l="1"/>
  <c r="V25" i="17"/>
  <c r="V27" i="17"/>
  <c r="V20" i="17"/>
  <c r="V10" i="17"/>
  <c r="V19" i="17"/>
  <c r="V22" i="17"/>
  <c r="V14" i="17"/>
  <c r="V24" i="17"/>
  <c r="V18" i="17"/>
  <c r="V26" i="17"/>
  <c r="V21" i="17"/>
  <c r="AT35" i="17"/>
  <c r="G31" i="23"/>
  <c r="H30" i="23"/>
  <c r="H51" i="23"/>
  <c r="G52" i="23"/>
  <c r="I9" i="23"/>
  <c r="H10" i="23"/>
  <c r="AM11" i="19"/>
  <c r="AM67" i="19" s="1"/>
  <c r="AL67" i="19"/>
  <c r="AG67" i="19"/>
  <c r="AH3" i="19"/>
  <c r="AK67" i="19"/>
  <c r="AF68" i="19"/>
  <c r="AF69" i="19" s="1"/>
  <c r="AJ68" i="19"/>
  <c r="AJ69" i="19" s="1"/>
  <c r="V6" i="17"/>
  <c r="V16" i="17"/>
  <c r="AN36" i="17"/>
  <c r="V17" i="17"/>
  <c r="V12" i="17"/>
  <c r="V9" i="17"/>
  <c r="AL35" i="17"/>
  <c r="BJ35" i="17"/>
  <c r="BZ35" i="17"/>
  <c r="AM35" i="17"/>
  <c r="BC35" i="17"/>
  <c r="BS35" i="17"/>
  <c r="X35" i="17"/>
  <c r="AF35" i="17"/>
  <c r="AN35" i="17"/>
  <c r="AV35" i="17"/>
  <c r="BD35" i="17"/>
  <c r="BL35" i="17"/>
  <c r="BT35" i="17"/>
  <c r="AT36" i="17"/>
  <c r="W35" i="17"/>
  <c r="Y35" i="17"/>
  <c r="AG35" i="17"/>
  <c r="AO35" i="17"/>
  <c r="AW35" i="17"/>
  <c r="BE35" i="17"/>
  <c r="BM35" i="17"/>
  <c r="BU35" i="17"/>
  <c r="Z35" i="17"/>
  <c r="AH35" i="17"/>
  <c r="AP35" i="17"/>
  <c r="AX35" i="17"/>
  <c r="BF35" i="17"/>
  <c r="BN35" i="17"/>
  <c r="BV35" i="17"/>
  <c r="BB36" i="17"/>
  <c r="AE35" i="17"/>
  <c r="AU36" i="17"/>
  <c r="AA35" i="17"/>
  <c r="AI35" i="17"/>
  <c r="AQ35" i="17"/>
  <c r="AY35" i="17"/>
  <c r="BG35" i="17"/>
  <c r="BO35" i="17"/>
  <c r="BW35" i="17"/>
  <c r="AD35" i="17"/>
  <c r="BR35" i="17"/>
  <c r="BK35" i="17"/>
  <c r="AB35" i="17"/>
  <c r="AJ35" i="17"/>
  <c r="AR35" i="17"/>
  <c r="AZ35" i="17"/>
  <c r="BH35" i="17"/>
  <c r="BP35" i="17"/>
  <c r="BX35" i="17"/>
  <c r="AC35" i="17"/>
  <c r="AK35" i="17"/>
  <c r="AS35" i="17"/>
  <c r="BA35" i="17"/>
  <c r="BI35" i="17"/>
  <c r="BQ35" i="17"/>
  <c r="BY35" i="17"/>
  <c r="AQ11" i="19" l="1"/>
  <c r="J9" i="23"/>
  <c r="I10" i="23"/>
  <c r="I51" i="23"/>
  <c r="H52" i="23"/>
  <c r="I30" i="23"/>
  <c r="H31" i="23"/>
  <c r="AI3" i="19"/>
  <c r="AI67" i="19" s="1"/>
  <c r="AH67" i="19"/>
  <c r="AG68" i="19"/>
  <c r="AG69" i="19" s="1"/>
  <c r="AL68" i="19"/>
  <c r="AL69" i="19" s="1"/>
  <c r="AM68" i="19"/>
  <c r="AM69" i="19" s="1"/>
  <c r="AK68" i="19"/>
  <c r="AK69" i="19"/>
  <c r="J30" i="23" l="1"/>
  <c r="I31" i="23"/>
  <c r="J51" i="23"/>
  <c r="I52" i="23"/>
  <c r="K9" i="23"/>
  <c r="J10" i="23"/>
  <c r="AQ3" i="19"/>
  <c r="AH68" i="19"/>
  <c r="AH69" i="19" s="1"/>
  <c r="AI68" i="19"/>
  <c r="AI69" i="19" s="1"/>
  <c r="K51" i="23" l="1"/>
  <c r="J52" i="23"/>
  <c r="L9" i="23"/>
  <c r="K10" i="23"/>
  <c r="K30" i="23"/>
  <c r="J31" i="23"/>
  <c r="E82" i="11"/>
  <c r="E81" i="11"/>
  <c r="E80" i="11"/>
  <c r="E79" i="11"/>
  <c r="L78" i="11"/>
  <c r="E78" i="11"/>
  <c r="E77" i="11"/>
  <c r="E76" i="11"/>
  <c r="E75" i="11"/>
  <c r="L74" i="11"/>
  <c r="E74" i="11"/>
  <c r="E73" i="11"/>
  <c r="E72" i="11"/>
  <c r="E71" i="11"/>
  <c r="E70" i="11"/>
  <c r="E69" i="11"/>
  <c r="E68" i="11"/>
  <c r="E67" i="11"/>
  <c r="E66" i="11"/>
  <c r="E65" i="11"/>
  <c r="E64" i="11"/>
  <c r="L63" i="11"/>
  <c r="E63" i="11"/>
  <c r="E62" i="11"/>
  <c r="E61" i="11"/>
  <c r="E60" i="11"/>
  <c r="E59" i="11"/>
  <c r="E58" i="11"/>
  <c r="L57" i="11"/>
  <c r="E57" i="11"/>
  <c r="E56" i="11"/>
  <c r="E55" i="11"/>
  <c r="L54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L30" i="11"/>
  <c r="E30" i="11"/>
  <c r="E29" i="11"/>
  <c r="L28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L30" i="23" l="1"/>
  <c r="K31" i="23"/>
  <c r="M9" i="23"/>
  <c r="L10" i="23"/>
  <c r="L51" i="23"/>
  <c r="K52" i="23"/>
  <c r="AQ26" i="7"/>
  <c r="M51" i="23" l="1"/>
  <c r="L52" i="23"/>
  <c r="N9" i="23"/>
  <c r="N10" i="23" s="1"/>
  <c r="M10" i="23"/>
  <c r="M30" i="23"/>
  <c r="L31" i="23"/>
  <c r="AQ22" i="7"/>
  <c r="N30" i="23" l="1"/>
  <c r="N31" i="23" s="1"/>
  <c r="M31" i="23"/>
  <c r="N51" i="23"/>
  <c r="N52" i="23" s="1"/>
  <c r="M52" i="23"/>
  <c r="AQ11" i="7"/>
  <c r="AQ5" i="7" l="1"/>
  <c r="F49" i="7" l="1"/>
  <c r="F48" i="7"/>
  <c r="F47" i="7"/>
  <c r="F46" i="7"/>
  <c r="F45" i="7"/>
  <c r="F44" i="7"/>
  <c r="F43" i="7"/>
  <c r="AQ32" i="7"/>
  <c r="G32" i="7"/>
  <c r="F31" i="7"/>
  <c r="F30" i="7"/>
  <c r="F29" i="7"/>
  <c r="F28" i="7"/>
  <c r="F27" i="7"/>
  <c r="F26" i="7"/>
  <c r="F25" i="7"/>
  <c r="F23" i="7"/>
  <c r="F22" i="7"/>
  <c r="F21" i="7"/>
  <c r="F20" i="7"/>
  <c r="F19" i="7"/>
  <c r="F18" i="7"/>
  <c r="F24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AZ1" i="7"/>
  <c r="AY1" i="7"/>
  <c r="AX1" i="7"/>
  <c r="AW1" i="7"/>
  <c r="AV1" i="7"/>
  <c r="AU1" i="7"/>
  <c r="X72" i="3" l="1"/>
  <c r="V72" i="3"/>
  <c r="X23" i="3"/>
  <c r="V23" i="3"/>
  <c r="X26" i="3"/>
  <c r="X27" i="3"/>
  <c r="X25" i="3"/>
  <c r="V29" i="3"/>
  <c r="V24" i="3"/>
  <c r="X28" i="3"/>
  <c r="V27" i="3"/>
  <c r="X29" i="3"/>
  <c r="V25" i="3"/>
  <c r="X24" i="3"/>
  <c r="V26" i="3"/>
  <c r="V28" i="3"/>
  <c r="X63" i="3"/>
  <c r="X45" i="3"/>
  <c r="X67" i="3"/>
  <c r="X35" i="3"/>
  <c r="X32" i="3"/>
  <c r="X77" i="3"/>
  <c r="X66" i="3"/>
  <c r="X69" i="3"/>
  <c r="X68" i="3"/>
  <c r="X50" i="3"/>
  <c r="X58" i="3"/>
  <c r="X61" i="3"/>
  <c r="X60" i="3"/>
  <c r="X76" i="3"/>
  <c r="X36" i="3"/>
  <c r="X70" i="3"/>
  <c r="X47" i="3"/>
  <c r="X46" i="3"/>
  <c r="X75" i="3"/>
  <c r="X74" i="3"/>
  <c r="X48" i="3"/>
  <c r="X44" i="3"/>
  <c r="X65" i="3"/>
  <c r="X71" i="3"/>
  <c r="X31" i="3"/>
  <c r="X30" i="3"/>
  <c r="X73" i="3"/>
  <c r="X57" i="3"/>
  <c r="X62" i="3"/>
  <c r="X64" i="3"/>
  <c r="X59" i="3"/>
  <c r="X40" i="3"/>
  <c r="X41" i="3"/>
  <c r="X34" i="3"/>
  <c r="X37" i="3"/>
  <c r="X49" i="3"/>
  <c r="X33" i="3"/>
  <c r="X39" i="3"/>
  <c r="X38" i="3"/>
  <c r="X42" i="3"/>
  <c r="X43" i="3"/>
  <c r="V33" i="3"/>
  <c r="V41" i="3"/>
  <c r="V49" i="3"/>
  <c r="V37" i="3"/>
  <c r="V34" i="3"/>
  <c r="V42" i="3"/>
  <c r="V39" i="3"/>
  <c r="V43" i="3"/>
  <c r="V40" i="3"/>
  <c r="V38" i="3"/>
  <c r="V63" i="3"/>
  <c r="V71" i="3"/>
  <c r="V76" i="3"/>
  <c r="V45" i="3"/>
  <c r="V59" i="3"/>
  <c r="V67" i="3"/>
  <c r="V75" i="3"/>
  <c r="V66" i="3"/>
  <c r="V74" i="3"/>
  <c r="V73" i="3"/>
  <c r="V69" i="3"/>
  <c r="V77" i="3"/>
  <c r="V36" i="3"/>
  <c r="V48" i="3"/>
  <c r="V31" i="3"/>
  <c r="V58" i="3"/>
  <c r="V65" i="3"/>
  <c r="V64" i="3"/>
  <c r="V70" i="3"/>
  <c r="V61" i="3"/>
  <c r="V68" i="3"/>
  <c r="V44" i="3"/>
  <c r="V57" i="3"/>
  <c r="V50" i="3"/>
  <c r="V62" i="3"/>
  <c r="V47" i="3"/>
  <c r="V60" i="3"/>
  <c r="V46" i="3"/>
  <c r="V35" i="3"/>
  <c r="V32" i="3"/>
  <c r="V30" i="3"/>
  <c r="BA49" i="7"/>
  <c r="F32" i="7"/>
  <c r="BA46" i="7"/>
  <c r="BA47" i="7"/>
  <c r="BA4" i="7"/>
  <c r="BA8" i="7"/>
  <c r="BA12" i="7"/>
  <c r="BA16" i="7"/>
  <c r="BA19" i="7"/>
  <c r="BA23" i="7"/>
  <c r="BA25" i="7"/>
  <c r="BA29" i="7"/>
  <c r="BA5" i="7"/>
  <c r="BA9" i="7"/>
  <c r="BA13" i="7"/>
  <c r="BA17" i="7"/>
  <c r="BA20" i="7"/>
  <c r="BA26" i="7"/>
  <c r="BA30" i="7"/>
  <c r="BA43" i="7"/>
  <c r="BA48" i="7"/>
  <c r="BA31" i="7"/>
  <c r="BA6" i="7"/>
  <c r="BA10" i="7"/>
  <c r="BA14" i="7"/>
  <c r="BA24" i="7"/>
  <c r="BA21" i="7"/>
  <c r="BA27" i="7"/>
  <c r="BA44" i="7"/>
  <c r="BA3" i="7"/>
  <c r="BA7" i="7"/>
  <c r="BA11" i="7"/>
  <c r="BA15" i="7"/>
  <c r="BA18" i="7"/>
  <c r="BA22" i="7"/>
  <c r="BA28" i="7"/>
  <c r="BA45" i="7"/>
  <c r="V79" i="3" l="1"/>
  <c r="D5" i="22" s="1"/>
  <c r="X79" i="3"/>
  <c r="T80" i="3"/>
  <c r="T8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Rojas Crisostomo</author>
  </authors>
  <commentList>
    <comment ref="Z22" authorId="0" shapeId="0" xr:uid="{E173A90C-4EE4-4979-8366-EA364971D743}">
      <text>
        <r>
          <rPr>
            <sz val="9"/>
            <color indexed="81"/>
            <rFont val="Tahoma"/>
            <family val="2"/>
          </rPr>
          <t>Fecha real: 
14/12/2022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Valderrama Pumallihua</author>
  </authors>
  <commentList>
    <comment ref="E1" authorId="0" shapeId="0" xr:uid="{AD811909-1188-4B3E-9E0E-767BEEE96680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F1" authorId="0" shapeId="0" xr:uid="{53DE4DE6-705A-4D29-9352-E6754F1F4161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
</t>
        </r>
      </text>
    </comment>
    <comment ref="H1" authorId="0" shapeId="0" xr:uid="{80AF4F59-3712-4DF3-B78F-975779098C41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I1" authorId="0" shapeId="0" xr:uid="{0648290F-7F46-487F-B6BA-E9534D3583DA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J1" authorId="0" shapeId="0" xr:uid="{EAAF5B3A-7DF8-45F1-820A-CF375EE9D7EA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K1" authorId="0" shapeId="0" xr:uid="{F3818D9F-097C-496A-9D20-0DDE7896421A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N1" authorId="0" shapeId="0" xr:uid="{C43473C0-B252-4BA3-AB07-A8B12E86F6EF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O1" authorId="0" shapeId="0" xr:uid="{C8481522-86CA-4351-B7A8-2973C4184F0B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</commentList>
</comments>
</file>

<file path=xl/sharedStrings.xml><?xml version="1.0" encoding="utf-8"?>
<sst xmlns="http://schemas.openxmlformats.org/spreadsheetml/2006/main" count="3851" uniqueCount="743">
  <si>
    <t>Mejoras al Control de Comprobantes 2022</t>
  </si>
  <si>
    <t xml:space="preserve">Implementación sistema Helpdesk </t>
  </si>
  <si>
    <t>Diagnóstico de mejora de correo electrónico - administrativo</t>
  </si>
  <si>
    <t>Diagnóstico intranet Muya</t>
  </si>
  <si>
    <t>Credimuya - mejoras</t>
  </si>
  <si>
    <t>Web Service 2022 comunicaciones SMS (Sigella, SG5)</t>
  </si>
  <si>
    <t>Segmentación de Clientes 2022</t>
  </si>
  <si>
    <t>Envío de Cronogramas (masivo)</t>
  </si>
  <si>
    <t>Envíos de Comunicaciones via Email</t>
  </si>
  <si>
    <t xml:space="preserve">Automatización de depositos bancarios </t>
  </si>
  <si>
    <t>Unificacion de base de datos - regularizar clientes y productos</t>
  </si>
  <si>
    <t>Mejora del proceso de recibos de separación CRM - cierre Caja</t>
  </si>
  <si>
    <t>Nuevo CRM - SAC</t>
  </si>
  <si>
    <t>Contabilidad</t>
  </si>
  <si>
    <t>SAC</t>
  </si>
  <si>
    <t>Comercial</t>
  </si>
  <si>
    <t>Emisión</t>
  </si>
  <si>
    <t>TN en el envío de SG5 a Exactus / Cálculo de marca</t>
  </si>
  <si>
    <t>Omnicanal</t>
  </si>
  <si>
    <t>R&amp;C</t>
  </si>
  <si>
    <t>SG5 planillas - mejoras</t>
  </si>
  <si>
    <t>GDH</t>
  </si>
  <si>
    <t>SG5 camposanto - mejoras</t>
  </si>
  <si>
    <t>Módulo de movilidades</t>
  </si>
  <si>
    <t>Mantenimiento movilidades</t>
  </si>
  <si>
    <t>Servicios digitales / Extranet</t>
  </si>
  <si>
    <t>Proceso de vacaciones SG5-CRM</t>
  </si>
  <si>
    <t>TI</t>
  </si>
  <si>
    <t>Cambio de Zoom por Gmail</t>
  </si>
  <si>
    <t>Carga de facturas a Exactus por XML</t>
  </si>
  <si>
    <t>64h o 3800 dolares</t>
  </si>
  <si>
    <t>Exactus: Log de quien registra + fecha</t>
  </si>
  <si>
    <t>Descarga Excel reporte ventas y compras desde SG5</t>
  </si>
  <si>
    <t>Marketing</t>
  </si>
  <si>
    <t>Modificaciones de la web para independizar Ecuador</t>
  </si>
  <si>
    <t>SG5 planillas - Baja de trabajadores en los sistemas</t>
  </si>
  <si>
    <t>Logistica</t>
  </si>
  <si>
    <t>Columna de ORIGEN para las OS - Peru y Ecuador</t>
  </si>
  <si>
    <t>1h</t>
  </si>
  <si>
    <t>Programación de sepelios y misas - SG5 &amp; CRM</t>
  </si>
  <si>
    <t>Control documentario NI para activación</t>
  </si>
  <si>
    <t>Prototipo - plataforma de carga de doc - 2° etapa</t>
  </si>
  <si>
    <t>Retenciones</t>
  </si>
  <si>
    <t>Tratamiento de datos</t>
  </si>
  <si>
    <t>Reporte de NI + funerarias</t>
  </si>
  <si>
    <t>Servidor espejo</t>
  </si>
  <si>
    <t>Nuevo CRM - Comercial 2024</t>
  </si>
  <si>
    <t>Mejoras agendas - CRM</t>
  </si>
  <si>
    <t>más 2 modulos Exactus</t>
  </si>
  <si>
    <t>Actividades</t>
  </si>
  <si>
    <t>Estado</t>
  </si>
  <si>
    <t>P.Manager</t>
  </si>
  <si>
    <t>Objetivo</t>
  </si>
  <si>
    <t xml:space="preserve">Estrategia </t>
  </si>
  <si>
    <t xml:space="preserve">Tactica </t>
  </si>
  <si>
    <t>Involucrados</t>
  </si>
  <si>
    <t xml:space="preserve">Observación </t>
  </si>
  <si>
    <t>Fecha Inicio</t>
  </si>
  <si>
    <t>Med</t>
  </si>
  <si>
    <t>Fecha Fin</t>
  </si>
  <si>
    <t>Fecha Fin Real</t>
  </si>
  <si>
    <t>Fusión</t>
  </si>
  <si>
    <t>Proyecto</t>
  </si>
  <si>
    <t>Moneda</t>
  </si>
  <si>
    <t>Comentario</t>
  </si>
  <si>
    <t>TOTAL</t>
  </si>
  <si>
    <t>TOTAL (S/.)</t>
  </si>
  <si>
    <t>Ejecutado</t>
  </si>
  <si>
    <t>Sin iniciar</t>
  </si>
  <si>
    <t>L Rojas</t>
  </si>
  <si>
    <t>Descripción</t>
  </si>
  <si>
    <t>Proforma digital</t>
  </si>
  <si>
    <t>Consejero envíe a través de medios digitales una proforma digital</t>
  </si>
  <si>
    <t>Identificar y asignar comisión por primer contacto en ventas NI</t>
  </si>
  <si>
    <t>Mejora de las agendas - CRM</t>
  </si>
  <si>
    <t>Mejora en el funcionamiento del módulo de agendas en el CRM</t>
  </si>
  <si>
    <t>CRM</t>
  </si>
  <si>
    <t>Asignación venta NI (Reporte funerarias)</t>
  </si>
  <si>
    <t>Consolidación de información de abonos</t>
  </si>
  <si>
    <t>Interconexión bancaria</t>
  </si>
  <si>
    <t>Interconexión Masiv vs SG5</t>
  </si>
  <si>
    <t>Módulo de comunicaciones</t>
  </si>
  <si>
    <t>SG5</t>
  </si>
  <si>
    <t>JCCh</t>
  </si>
  <si>
    <t>Descarga y subida de tramas de respuesta de los bancos + Generación de tramas para bancos</t>
  </si>
  <si>
    <t>Resultado clave</t>
  </si>
  <si>
    <t>Elaborar generador de cartas preresolutorias e Infocorp + Generación de cartas notariales</t>
  </si>
  <si>
    <t>Ejecucion de reportes Cierre contable + Generar reporte de retiro de lapidas para SAC</t>
  </si>
  <si>
    <t>Apertura de nuevos canales tradicionales y digitales</t>
  </si>
  <si>
    <t>Reporte de alianzas + cálculo de marca</t>
  </si>
  <si>
    <t>Envió de SMS masivos + bienvenida al cliente</t>
  </si>
  <si>
    <t>Incluir circulares/prom como validación en CRM</t>
  </si>
  <si>
    <t>Credimuya</t>
  </si>
  <si>
    <t>Auditorías por IVR - 2024</t>
  </si>
  <si>
    <t>Visor de documentos</t>
  </si>
  <si>
    <t>Check list - Trámite documentario</t>
  </si>
  <si>
    <t>SG5 web</t>
  </si>
  <si>
    <t>Proyectos</t>
  </si>
  <si>
    <t>Call center 24x7 - Omnicanal + CRM</t>
  </si>
  <si>
    <t>Mejora SG5 - Visualización SSFF para SAC</t>
  </si>
  <si>
    <t>Vinculación con la distribuciones en las colas de R&amp;C</t>
  </si>
  <si>
    <t>Mejora SG5 - Reporte de servicios de sepultura</t>
  </si>
  <si>
    <t>Sistema de control/uso de flota</t>
  </si>
  <si>
    <t>Cliente acepte política de tratamiento de datos personales desde el inicio (regulatorio)</t>
  </si>
  <si>
    <t>Áreas</t>
  </si>
  <si>
    <t>Responsable</t>
  </si>
  <si>
    <t>Involucrada</t>
  </si>
  <si>
    <t>1. Actualización de calificación de cliente
2. Actualización de cartera de deuda cobranza
3. Cálculo de comisiones de call center
4. Elaboración y asignación de carteras de cobranza - Sigella
5. Envió de IVR masivos
6. Renovar cartera al equipo call center</t>
  </si>
  <si>
    <t>Tesorería/SAC</t>
  </si>
  <si>
    <t>Emisión/R&amp;C</t>
  </si>
  <si>
    <t>Adm&amp;Fin</t>
  </si>
  <si>
    <t>Tymiller</t>
  </si>
  <si>
    <t>Deisy</t>
  </si>
  <si>
    <t>Andre</t>
  </si>
  <si>
    <t>Lider</t>
  </si>
  <si>
    <t>x</t>
  </si>
  <si>
    <t>Sistemas</t>
  </si>
  <si>
    <t>Otros</t>
  </si>
  <si>
    <t>Separaciones de espacio desde el CRM</t>
  </si>
  <si>
    <t>Impacto en la rentabilidad</t>
  </si>
  <si>
    <t>Dividir la dirección por calle, número, interior, etc</t>
  </si>
  <si>
    <t>LRV - 2° fase</t>
  </si>
  <si>
    <t>Mejoras Muyashop</t>
  </si>
  <si>
    <t>Consultas fallecido + espacio + seg tramite</t>
  </si>
  <si>
    <t>Compra de Laptop</t>
  </si>
  <si>
    <t>Compra de Licencias Office</t>
  </si>
  <si>
    <t>Activos y otros TI</t>
  </si>
  <si>
    <t>Alfredo</t>
  </si>
  <si>
    <t>Priscila</t>
  </si>
  <si>
    <t>Año</t>
  </si>
  <si>
    <t>Web</t>
  </si>
  <si>
    <t>Cambio a las NIIF</t>
  </si>
  <si>
    <t>EEFF por Exactus - 2° etapa</t>
  </si>
  <si>
    <t>Mejoras SG5 planillas</t>
  </si>
  <si>
    <t>Natali</t>
  </si>
  <si>
    <t>Vacaciones + asistencias + contratos</t>
  </si>
  <si>
    <t>Pagaré digital - NI+NF</t>
  </si>
  <si>
    <t>Tamaño</t>
  </si>
  <si>
    <t>M</t>
  </si>
  <si>
    <t>L</t>
  </si>
  <si>
    <t>S</t>
  </si>
  <si>
    <t>Canales de recaudo web: Refinanciamientos + pagos x la web (inc Pago efectivo) + cronograma de pagos</t>
  </si>
  <si>
    <t>Servicios: Estado de cuenta, certificados de uso, constancia de inhumación, copia de comprobante de pago</t>
  </si>
  <si>
    <t>Puntaje</t>
  </si>
  <si>
    <t>Dimensión</t>
  </si>
  <si>
    <t>Servicios a través de la web (c/s extranet) - R&amp;C</t>
  </si>
  <si>
    <t>Servicios a través de la web (c/s extranet) - SAC</t>
  </si>
  <si>
    <t>Otros canales digitales: Izipay + Yape + Cajas + cargo en cuenta</t>
  </si>
  <si>
    <t>Eficiencia operativa</t>
  </si>
  <si>
    <t>Requisito legal</t>
  </si>
  <si>
    <t>Cableado de la sede de Areq (Gabinete+equipos)</t>
  </si>
  <si>
    <t>Actualización estructura tablas CRM + módulo supervisor</t>
  </si>
  <si>
    <t>CRM módulo SAC web</t>
  </si>
  <si>
    <t>Mejora de proceso, disminución errores, optimización del uso de recursos</t>
  </si>
  <si>
    <t>Exactus</t>
  </si>
  <si>
    <t>Calidad / Satisfacción del cliente</t>
  </si>
  <si>
    <t>Esfuerzo</t>
  </si>
  <si>
    <t>Aporta una clara ventaja competitiva</t>
  </si>
  <si>
    <t>Mitigación de riesgo</t>
  </si>
  <si>
    <t>Distinción frente a la competencia.</t>
  </si>
  <si>
    <t>Exigido por la ley. Cumplimineto normativo.</t>
  </si>
  <si>
    <t>Aumenta los ingresos o dismuye los gastos.</t>
  </si>
  <si>
    <t>Mitiga riesgos como gastos extras, caidas del sistema/proceso, reclamos, etc</t>
  </si>
  <si>
    <t>Peso</t>
  </si>
  <si>
    <t>Criterios de calificación</t>
  </si>
  <si>
    <t>Relación</t>
  </si>
  <si>
    <t>Alta</t>
  </si>
  <si>
    <t>Media</t>
  </si>
  <si>
    <t>Baja</t>
  </si>
  <si>
    <t>Mejora la experiencia del cliente, brindando una mayor satisfacción con los productos de EE. (Puede ser interno o externo)</t>
  </si>
  <si>
    <t>R</t>
  </si>
  <si>
    <t>Mejora proceso de cobro cuota inicial partida</t>
  </si>
  <si>
    <t>Diagnótico de compra de licencias de Exactus</t>
  </si>
  <si>
    <t>Mejorar performance del proceso de la diferencia de TC en Exactus</t>
  </si>
  <si>
    <t>Planeam.</t>
  </si>
  <si>
    <t>Automatización BI Exactus</t>
  </si>
  <si>
    <t>1. Anticipo vs registro de facturas
2. Direccionar la orden a su centro de costo
3. Carga masiva para ingreso de almacen
4. Otras modificaciones</t>
  </si>
  <si>
    <t>Mejoras Exactus - Logística</t>
  </si>
  <si>
    <t>Yadira</t>
  </si>
  <si>
    <t>2024+</t>
  </si>
  <si>
    <t>Visitas a sede</t>
  </si>
  <si>
    <t>presupuesto x visita</t>
  </si>
  <si>
    <t>1500xvisita</t>
  </si>
  <si>
    <t>2 visitas a sede</t>
  </si>
  <si>
    <t>10K</t>
  </si>
  <si>
    <t>capacitaciones</t>
  </si>
  <si>
    <t>Reporte previo a envío SRI: ventas y compras</t>
  </si>
  <si>
    <t>Automatización para el proceso de retenciones</t>
  </si>
  <si>
    <t>Módulos: Formulación presupuestal y flujo de caja</t>
  </si>
  <si>
    <t>Web: independizar página de Ecuador</t>
  </si>
  <si>
    <t>Ec</t>
  </si>
  <si>
    <t>José</t>
  </si>
  <si>
    <t>Guillermo</t>
  </si>
  <si>
    <t>Bloqueo del CRM por vacaciones</t>
  </si>
  <si>
    <t>Canal de venta y origen de prospecto</t>
  </si>
  <si>
    <t>Envío automático de información de SG5 a Exactus</t>
  </si>
  <si>
    <t>Página web</t>
  </si>
  <si>
    <t>Modificaciones CRM - Redondeo de precios finales</t>
  </si>
  <si>
    <t>Libro de reclamaciones</t>
  </si>
  <si>
    <t>Ecuador - Planillas</t>
  </si>
  <si>
    <t>Ecuador - SG5</t>
  </si>
  <si>
    <t>Ecuador - Exactus</t>
  </si>
  <si>
    <t>Ecuador - CRM</t>
  </si>
  <si>
    <t>Ecuador - SG5 - Modificación numeracion de contratos</t>
  </si>
  <si>
    <t>Ecuador - SG5 - Registro de venta y compra + retenciones</t>
  </si>
  <si>
    <t>CRM - 32 a 64 bits</t>
  </si>
  <si>
    <t>Transferencia gratuita - Muyashop</t>
  </si>
  <si>
    <t>CRM - Validaciones correo</t>
  </si>
  <si>
    <t>Modificacion planillas - Liquidaciones, calculo EsSalud y AFP/ONP</t>
  </si>
  <si>
    <t>Modificacion planillas - Quinta categoría</t>
  </si>
  <si>
    <t>Modificaciones SG5 - Gratificaciones, vacaciones Ec y capcha-LRV</t>
  </si>
  <si>
    <t>SG5 - Validacion codigo de espacio</t>
  </si>
  <si>
    <t>Reporte recibos FOMA - Yarqa</t>
  </si>
  <si>
    <t>Trama IBK</t>
  </si>
  <si>
    <t>Log de recaudo</t>
  </si>
  <si>
    <t>Reformulación del módulo de resoluciones</t>
  </si>
  <si>
    <t>Emisión/SAC</t>
  </si>
  <si>
    <t>Cálculo de resoluciones (Sistema entrega casos a resolver y los resuelve automáticamente) + reporte + estandarización de motivos</t>
  </si>
  <si>
    <t>E</t>
  </si>
  <si>
    <t>Importador de precios</t>
  </si>
  <si>
    <t>Nueva sede Pisco</t>
  </si>
  <si>
    <t>Diagnostico CRM</t>
  </si>
  <si>
    <t>Implemenracion Muyashop</t>
  </si>
  <si>
    <t>Conciliación automática en Excel - 20% restante</t>
  </si>
  <si>
    <t>2023 + recursos</t>
  </si>
  <si>
    <t>Incluye procedimiento de apertura de sede</t>
  </si>
  <si>
    <t>Migracion pendiente de Cusco?</t>
  </si>
  <si>
    <t>acta de sac</t>
  </si>
  <si>
    <t>Nueva sede Arequipa + Procedimiento</t>
  </si>
  <si>
    <t>Automatización - Validación CUOI + separación</t>
  </si>
  <si>
    <t>Consolidación de abonos para contabilidad</t>
  </si>
  <si>
    <t>Estructurar el ingreso de la dirección en el CRM</t>
  </si>
  <si>
    <t>Módulo reportes</t>
  </si>
  <si>
    <t>Validación: servicio/código espacio</t>
  </si>
  <si>
    <t>Puesta en marcha Sistemas Ecuador</t>
  </si>
  <si>
    <t>Marcos</t>
  </si>
  <si>
    <t>interconexión Sigella vs SG5</t>
  </si>
  <si>
    <t>Sub-área</t>
  </si>
  <si>
    <t>Perú</t>
  </si>
  <si>
    <t>Ecuador</t>
  </si>
  <si>
    <t>Envío de formatos - BigDavi</t>
  </si>
  <si>
    <t>Envío de contratos - BigDavi</t>
  </si>
  <si>
    <t>Implementación Muyashop</t>
  </si>
  <si>
    <t>Operaciones</t>
  </si>
  <si>
    <t>País</t>
  </si>
  <si>
    <t>Modificaciones Exactus</t>
  </si>
  <si>
    <t>1°</t>
  </si>
  <si>
    <t>2°</t>
  </si>
  <si>
    <t>3°</t>
  </si>
  <si>
    <t>4°</t>
  </si>
  <si>
    <t>&gt;15000</t>
  </si>
  <si>
    <t>Inicial</t>
  </si>
  <si>
    <t># cuotas</t>
  </si>
  <si>
    <t>Cuota</t>
  </si>
  <si>
    <t>Monto</t>
  </si>
  <si>
    <t>&lt;5000</t>
  </si>
  <si>
    <t>10k - 15k</t>
  </si>
  <si>
    <t>5k - 10k</t>
  </si>
  <si>
    <t>IGV</t>
  </si>
  <si>
    <t>Total</t>
  </si>
  <si>
    <t>Subtotal</t>
  </si>
  <si>
    <t>Automatización en el proceso de retenciones</t>
  </si>
  <si>
    <t>Factibilidad</t>
  </si>
  <si>
    <t>Alcance</t>
  </si>
  <si>
    <t>Desarrollo</t>
  </si>
  <si>
    <t>Pruebas</t>
  </si>
  <si>
    <t>Ratificación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</si>
  <si>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</si>
  <si>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</si>
  <si>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</si>
  <si>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</si>
  <si>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</si>
  <si>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</si>
  <si>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</si>
  <si>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</si>
  <si>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</si>
  <si>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</si>
  <si>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</si>
  <si>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</si>
  <si>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#</t>
  </si>
  <si>
    <t>Funcional</t>
  </si>
  <si>
    <t>Cotizacion</t>
  </si>
  <si>
    <t>D</t>
  </si>
  <si>
    <t>P</t>
  </si>
  <si>
    <t>A</t>
  </si>
  <si>
    <t>Semanas</t>
  </si>
  <si>
    <t>XS</t>
  </si>
  <si>
    <t>D+P</t>
  </si>
  <si>
    <t>&lt;1</t>
  </si>
  <si>
    <t>1 a 4</t>
  </si>
  <si>
    <t>5 a 12</t>
  </si>
  <si>
    <t>13 a +</t>
  </si>
  <si>
    <t>Cotización</t>
  </si>
  <si>
    <t>2023-I</t>
  </si>
  <si>
    <t>2023-II</t>
  </si>
  <si>
    <t>2023-III</t>
  </si>
  <si>
    <t>2023-IV</t>
  </si>
  <si>
    <t>C</t>
  </si>
  <si>
    <t>Q</t>
  </si>
  <si>
    <t>Mejorar proceso diferencia de TC en Exactus</t>
  </si>
  <si>
    <t>(+)canales R&amp;C: Izipay + Yape + cargo en cuenta</t>
  </si>
  <si>
    <t>Agregar nuevos servicios financiados a un cronograma vigente</t>
  </si>
  <si>
    <t>Otros canales digitales: Izipay + Yape + Cajas + cargo en cuenta (+ventas x la web)</t>
  </si>
  <si>
    <t>A+P</t>
  </si>
  <si>
    <t>Directorio activo</t>
  </si>
  <si>
    <t>Integrar la gestión de usuarios de todos los sistemas</t>
  </si>
  <si>
    <t>Con un usuario ingresar a todas las sedes en SG5</t>
  </si>
  <si>
    <t>Pasar los reportes de Power BI en el CRM (hechos por Ty) a una vista protegida</t>
  </si>
  <si>
    <t>Reporte de moras</t>
  </si>
  <si>
    <t>Programación de sepelios electrónico (SAC y Parque)</t>
  </si>
  <si>
    <t>Propuesta de CC. Colocar una pantalla dentro del camposanto donde se proyecten misas, entierros, etc</t>
  </si>
  <si>
    <t>Comunicator</t>
  </si>
  <si>
    <t>Propuesta de CC. Plan de comunicaciones de Muya</t>
  </si>
  <si>
    <t>Reporte de detalle de pedidos de almacén</t>
  </si>
  <si>
    <t>Finalizado</t>
  </si>
  <si>
    <t>x Ubicaina</t>
  </si>
  <si>
    <t>En proceso</t>
  </si>
  <si>
    <t>Reorganizado</t>
  </si>
  <si>
    <t>Original</t>
  </si>
  <si>
    <t>Area</t>
  </si>
  <si>
    <t>Presupuesto</t>
  </si>
  <si>
    <t>Gasto</t>
  </si>
  <si>
    <t>Modificación del asiento contable para beneficios sociales</t>
  </si>
  <si>
    <t>Error - Correccion trama mora</t>
  </si>
  <si>
    <t>Importación 400 contratos</t>
  </si>
  <si>
    <t>Fecha errada en comprobantes</t>
  </si>
  <si>
    <t>Log cambios en primera y log consultas</t>
  </si>
  <si>
    <t>Revisón del proceso de backup</t>
  </si>
  <si>
    <t>Piloto de nueva forma de pago - SG5</t>
  </si>
  <si>
    <t>Proyecto 2023</t>
  </si>
  <si>
    <t>x codigo vs producto</t>
  </si>
  <si>
    <t>De 5 a 9</t>
  </si>
  <si>
    <t>Código</t>
  </si>
  <si>
    <t>Vacaciones</t>
  </si>
  <si>
    <t>Contratos</t>
  </si>
  <si>
    <t>Asistencias</t>
  </si>
  <si>
    <t>P202301</t>
  </si>
  <si>
    <t>P202302</t>
  </si>
  <si>
    <t>P202303</t>
  </si>
  <si>
    <t>P202304</t>
  </si>
  <si>
    <t>P202305</t>
  </si>
  <si>
    <t>P202306</t>
  </si>
  <si>
    <t>P202307</t>
  </si>
  <si>
    <t>P202308</t>
  </si>
  <si>
    <t>P202309</t>
  </si>
  <si>
    <t>P202310</t>
  </si>
  <si>
    <t>P202311</t>
  </si>
  <si>
    <t>P202312</t>
  </si>
  <si>
    <t>P202313</t>
  </si>
  <si>
    <t>P202314</t>
  </si>
  <si>
    <t>P202315</t>
  </si>
  <si>
    <t>P202316</t>
  </si>
  <si>
    <t>P202317</t>
  </si>
  <si>
    <t>P202318</t>
  </si>
  <si>
    <t>P202319</t>
  </si>
  <si>
    <t>P202320</t>
  </si>
  <si>
    <t>P202321</t>
  </si>
  <si>
    <t>Mejoras planillas</t>
  </si>
  <si>
    <t>Servicios a través de la web - R&amp;C</t>
  </si>
  <si>
    <t>Servicios a través de la web - SAC</t>
  </si>
  <si>
    <t>Mejorar proceso de diferencia de TC</t>
  </si>
  <si>
    <t>Nuevos canales de pago</t>
  </si>
  <si>
    <t>2023+</t>
  </si>
  <si>
    <t>Área</t>
  </si>
  <si>
    <t>Sub-Área</t>
  </si>
  <si>
    <t>SAC&amp;Parque</t>
  </si>
  <si>
    <t>Nueva sede Arequipa</t>
  </si>
  <si>
    <t>Proveedor principal</t>
  </si>
  <si>
    <t>Kunaq</t>
  </si>
  <si>
    <t>Año Proy</t>
  </si>
  <si>
    <t>Camposanto</t>
  </si>
  <si>
    <t>Reporte detalle pedidos de almacén</t>
  </si>
  <si>
    <t>M Torres</t>
  </si>
  <si>
    <t>J Chavez</t>
  </si>
  <si>
    <t>T Llacza</t>
  </si>
  <si>
    <t>Monto sin IGV</t>
  </si>
  <si>
    <t>Fecha</t>
  </si>
  <si>
    <t>Proveedor</t>
  </si>
  <si>
    <t>Factura</t>
  </si>
  <si>
    <t>OS</t>
  </si>
  <si>
    <t>Cuenta</t>
  </si>
  <si>
    <t>Avanza</t>
  </si>
  <si>
    <t>E001-294</t>
  </si>
  <si>
    <t>CRM Ecuador</t>
  </si>
  <si>
    <t>Cuota 1/3 - 35%</t>
  </si>
  <si>
    <t>Cuenta 34: Activo intangible</t>
  </si>
  <si>
    <t>Cancelado</t>
  </si>
  <si>
    <t>E001-326</t>
  </si>
  <si>
    <t>Cuota 2/3 - 50%</t>
  </si>
  <si>
    <t>E001-2337</t>
  </si>
  <si>
    <t>Trama Interbank</t>
  </si>
  <si>
    <t>Cuota única</t>
  </si>
  <si>
    <t>FU-2022.3-013</t>
  </si>
  <si>
    <t>E001-2339</t>
  </si>
  <si>
    <t>Modificaciones GDH - SG5 planillas</t>
  </si>
  <si>
    <t>Cuota 1/3 - 30%</t>
  </si>
  <si>
    <t>BigDavi</t>
  </si>
  <si>
    <t>FU-2022.4-016</t>
  </si>
  <si>
    <t>E001-1119</t>
  </si>
  <si>
    <t>Envio de formatos - BigDavi (Setup // API)</t>
  </si>
  <si>
    <t>E001-1120</t>
  </si>
  <si>
    <t>Envio de formatos - BigDavi (Certificado digital // Token virtual)</t>
  </si>
  <si>
    <t>E001-360</t>
  </si>
  <si>
    <t>Cuota 3/3 - 15%</t>
  </si>
  <si>
    <t>E001-2499</t>
  </si>
  <si>
    <t>Mantenimiento SG5 // Feb 22 - Ene 23</t>
  </si>
  <si>
    <t>Cuota 10/12</t>
  </si>
  <si>
    <t>E001-2500</t>
  </si>
  <si>
    <t>Cuota adicional</t>
  </si>
  <si>
    <t>FU-2022.3-014</t>
  </si>
  <si>
    <t>E001-2501</t>
  </si>
  <si>
    <t>Reporte de recibos de FOMA por fechas por perfil</t>
  </si>
  <si>
    <t>E001-2502</t>
  </si>
  <si>
    <t>Cuota 2/3 - 35%</t>
  </si>
  <si>
    <t>FU-2022.4-015</t>
  </si>
  <si>
    <t>E001-2503</t>
  </si>
  <si>
    <t>Modificación log de recaudo</t>
  </si>
  <si>
    <t>Cuota 1/4 - 30%</t>
  </si>
  <si>
    <t>E001-2557</t>
  </si>
  <si>
    <t>Cuota 11/12</t>
  </si>
  <si>
    <t>E001-2558</t>
  </si>
  <si>
    <t>Cuota 3/3 - 35%</t>
  </si>
  <si>
    <t>E001-2559</t>
  </si>
  <si>
    <t>Cuota 2/4 - 70% / 3</t>
  </si>
  <si>
    <t>FU-2022.4-019</t>
  </si>
  <si>
    <t>E001-2560</t>
  </si>
  <si>
    <t>Envío de comprobantes de ventas a la OSE-SRI</t>
  </si>
  <si>
    <t>FU-2022.4-017</t>
  </si>
  <si>
    <t>E001-2561</t>
  </si>
  <si>
    <t>Envío de documentos a BigDavi</t>
  </si>
  <si>
    <t>FU-2022.4-021</t>
  </si>
  <si>
    <t>E001-381</t>
  </si>
  <si>
    <t>Validación código de espacio + bloqueo por vacaciones</t>
  </si>
  <si>
    <t>E001-2621</t>
  </si>
  <si>
    <t>Cuota 12/12</t>
  </si>
  <si>
    <t>E001-2622</t>
  </si>
  <si>
    <t>Cuota 3/4 - 70% / 3</t>
  </si>
  <si>
    <t>E001-2623</t>
  </si>
  <si>
    <t>FU-2022.4-025</t>
  </si>
  <si>
    <t>E001-2624</t>
  </si>
  <si>
    <t>Web service para consulta de estado del trabajador</t>
  </si>
  <si>
    <t>FU-2022.4-026</t>
  </si>
  <si>
    <t>E001-2625</t>
  </si>
  <si>
    <t>E001-2626</t>
  </si>
  <si>
    <t>E001-2627</t>
  </si>
  <si>
    <t>E001-2628</t>
  </si>
  <si>
    <t>E001-2704</t>
  </si>
  <si>
    <t>Mantenimiento SG5 // Feb 23 - Ene 24</t>
  </si>
  <si>
    <t>Cuota 1/12 (Feb)</t>
  </si>
  <si>
    <t>E001-2705</t>
  </si>
  <si>
    <t>Cuota 4/4 - 70% / 3</t>
  </si>
  <si>
    <t>E001-2706</t>
  </si>
  <si>
    <t>FU-2022.4-024</t>
  </si>
  <si>
    <t>E001-2707</t>
  </si>
  <si>
    <t>Envío de contratos y activación automática</t>
  </si>
  <si>
    <t>FU-2023.1-003</t>
  </si>
  <si>
    <t>E001-497</t>
  </si>
  <si>
    <t>E001-500</t>
  </si>
  <si>
    <t>OS0000796</t>
  </si>
  <si>
    <t>Mantenimiento CRM // Mar 23 - Feb 24</t>
  </si>
  <si>
    <t>Cuota 1/2</t>
  </si>
  <si>
    <t>E001-2793</t>
  </si>
  <si>
    <t>Cuota 2/12 (Mar)</t>
  </si>
  <si>
    <t>Pendiente</t>
  </si>
  <si>
    <t>E001-536</t>
  </si>
  <si>
    <t>E001-2869</t>
  </si>
  <si>
    <t>Cuota 3/12 (Abr)</t>
  </si>
  <si>
    <t>FU-2023.1-006</t>
  </si>
  <si>
    <t>E001-2871</t>
  </si>
  <si>
    <t>OS0000896</t>
  </si>
  <si>
    <t>Proceso vacaciones web</t>
  </si>
  <si>
    <t>Cuota 1/6 - 30%</t>
  </si>
  <si>
    <t>BCTS</t>
  </si>
  <si>
    <t>FU-2023.1-008</t>
  </si>
  <si>
    <t>F001-2043</t>
  </si>
  <si>
    <t>Modificar y crear reportes de pedidos de almacén - Exactus</t>
  </si>
  <si>
    <t>E001-2952</t>
  </si>
  <si>
    <t>E001-2951</t>
  </si>
  <si>
    <t>Cuota 4/12 (May)</t>
  </si>
  <si>
    <t>FU-2023.1-011</t>
  </si>
  <si>
    <t>E001-2953</t>
  </si>
  <si>
    <t>OS0000931</t>
  </si>
  <si>
    <t>FU-2023.1-009</t>
  </si>
  <si>
    <t>E001-2954</t>
  </si>
  <si>
    <t>OS0000936</t>
  </si>
  <si>
    <t>E001-3033</t>
  </si>
  <si>
    <t>E001-3032</t>
  </si>
  <si>
    <t>Cuota 5/12 (Jun)</t>
  </si>
  <si>
    <t>E001-3034</t>
  </si>
  <si>
    <t>Implementación módulos asistencia y contratos</t>
  </si>
  <si>
    <t>Cuota 1/3</t>
  </si>
  <si>
    <t>E001-3036</t>
  </si>
  <si>
    <t>Cuota 2/6 - 70% / 5</t>
  </si>
  <si>
    <t>FU-2023.1-002</t>
  </si>
  <si>
    <t>E001-3035</t>
  </si>
  <si>
    <t>Proceso vacaciones SG5</t>
  </si>
  <si>
    <t>E001-3083</t>
  </si>
  <si>
    <t>Cuota 6/12 (Jul)</t>
  </si>
  <si>
    <t>Cuota 7/12 (Ago)</t>
  </si>
  <si>
    <t>Cuota 8/12 (Sep)</t>
  </si>
  <si>
    <t>Cuota 9/12 (Oct)</t>
  </si>
  <si>
    <t>Cuota 10/12 (Nov)</t>
  </si>
  <si>
    <t>Cuota 11/12 (Dic)</t>
  </si>
  <si>
    <t>Cuota 12/12 (Ene)</t>
  </si>
  <si>
    <t>Cuota 2/2</t>
  </si>
  <si>
    <t>Cuota 3/6 - 70% / 5</t>
  </si>
  <si>
    <t>Cuota 4/6 - 70% / 5</t>
  </si>
  <si>
    <t>Cuota 5/6 - 70% / 5</t>
  </si>
  <si>
    <t>Cuota 6/6 - 70% / 5</t>
  </si>
  <si>
    <t>Cuota 2/3 - 70% / 2</t>
  </si>
  <si>
    <t>Cuota 3/3 - 70% / 2</t>
  </si>
  <si>
    <t>Cuota 2/3</t>
  </si>
  <si>
    <t>Cuota 3/3</t>
  </si>
  <si>
    <t>N Ramos</t>
  </si>
  <si>
    <t>Automatización vacaciones</t>
  </si>
  <si>
    <t>XL</t>
  </si>
  <si>
    <t>Línea de negocio</t>
  </si>
  <si>
    <t>Líder</t>
  </si>
  <si>
    <t>Estado proyecto</t>
  </si>
  <si>
    <t>Estado presupuesto</t>
  </si>
  <si>
    <t>Involucradas</t>
  </si>
  <si>
    <t>ID</t>
  </si>
  <si>
    <t>Sistema</t>
  </si>
  <si>
    <t>Intranet</t>
  </si>
  <si>
    <t>Planillas</t>
  </si>
  <si>
    <t>x Practiplan</t>
  </si>
  <si>
    <t>Couta S/.</t>
  </si>
  <si>
    <t>SOL</t>
  </si>
  <si>
    <t>DOL</t>
  </si>
  <si>
    <t>TC</t>
  </si>
  <si>
    <t>Practiplan 2 - Nueva forma de pago</t>
  </si>
  <si>
    <t>Ubicaina</t>
  </si>
  <si>
    <t>?</t>
  </si>
  <si>
    <t>Presupuesto
S/.</t>
  </si>
  <si>
    <t>Aprobado
S/.</t>
  </si>
  <si>
    <t>Ejecutado
S/.</t>
  </si>
  <si>
    <t>Etiquetas de fila</t>
  </si>
  <si>
    <t>Total general</t>
  </si>
  <si>
    <t>%
Aprob</t>
  </si>
  <si>
    <t>%
Ejec</t>
  </si>
  <si>
    <t>Suma de %
Aprob</t>
  </si>
  <si>
    <t>% Presupuesto aprobado</t>
  </si>
  <si>
    <t>Mes pago</t>
  </si>
  <si>
    <t>Suma de Couta S/.</t>
  </si>
  <si>
    <t>Presupuesto aprobado pagado por mes</t>
  </si>
  <si>
    <t>Detalle cuota</t>
  </si>
  <si>
    <t># Cuota</t>
  </si>
  <si>
    <t>Total cuotas</t>
  </si>
  <si>
    <t>mm.aa</t>
  </si>
  <si>
    <t>% avance aprob</t>
  </si>
  <si>
    <t>% avance proy cerrados</t>
  </si>
  <si>
    <t>cantidad proy cerrados</t>
  </si>
  <si>
    <t>acumulado proy cerrados</t>
  </si>
  <si>
    <t>Cant proy presup</t>
  </si>
  <si>
    <t>Proy aprob</t>
  </si>
  <si>
    <t>Proy aprob acum</t>
  </si>
  <si>
    <t>Cant proy aprob</t>
  </si>
  <si>
    <t>Cant proy aprob acum</t>
  </si>
  <si>
    <t>Proy pagados</t>
  </si>
  <si>
    <t>Proy pagados acum</t>
  </si>
  <si>
    <t>Fecha aprobación</t>
  </si>
  <si>
    <t>% avance proy aprob</t>
  </si>
  <si>
    <t>% avance proy pagados</t>
  </si>
  <si>
    <t>Suma de Aprobado
S/.</t>
  </si>
  <si>
    <t>mm.aa
fch aprob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</si>
  <si>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</si>
  <si>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</si>
  <si>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</si>
  <si>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</si>
  <si>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</si>
  <si>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</si>
  <si>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</si>
  <si>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</si>
  <si>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</si>
  <si>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</si>
  <si>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</si>
  <si>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</si>
  <si>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E001-3119</t>
  </si>
  <si>
    <t>E001-3120</t>
  </si>
  <si>
    <t>E001-3121</t>
  </si>
  <si>
    <t>Certificados de uso, constancia de inhumación, comprobante de pago</t>
  </si>
  <si>
    <t>Refinanciamientos, pasarela de pagos, cronograma</t>
  </si>
  <si>
    <t>OS0001027</t>
  </si>
  <si>
    <t>OS0001028</t>
  </si>
  <si>
    <t>E001-3173</t>
  </si>
  <si>
    <t>E001-3174</t>
  </si>
  <si>
    <t xml:space="preserve">SEDE </t>
  </si>
  <si>
    <t>DEPARTAMENTO</t>
  </si>
  <si>
    <t>CUENTA DE PPTO</t>
  </si>
  <si>
    <t>RUC</t>
  </si>
  <si>
    <t>PROVEEDOR</t>
  </si>
  <si>
    <t>N° DE CUENTA A NOMBRE DEL PROVEEDOR</t>
  </si>
  <si>
    <t>BANCO</t>
  </si>
  <si>
    <t>PROYECTO</t>
  </si>
  <si>
    <t>CANTIDAD</t>
  </si>
  <si>
    <t>DETALLE DE GASTO</t>
  </si>
  <si>
    <t xml:space="preserve">P.U SIN IGV </t>
  </si>
  <si>
    <t>TOTAL OC/OS SIN IGV</t>
  </si>
  <si>
    <t>Lima</t>
  </si>
  <si>
    <t>Kunaq &amp; Asociados S.A.C</t>
  </si>
  <si>
    <t>BCP</t>
  </si>
  <si>
    <t>194-2097981-0-25</t>
  </si>
  <si>
    <t>E001-825</t>
  </si>
  <si>
    <t>Avanza Soluciones S.A.C.</t>
  </si>
  <si>
    <t>194-20176075-0-72</t>
  </si>
  <si>
    <t>Cantidad a comprar</t>
  </si>
  <si>
    <t>IQ comunicación integral SAC</t>
  </si>
  <si>
    <t>570-2362319-0-81</t>
  </si>
  <si>
    <t>15 días</t>
  </si>
  <si>
    <t>Sede</t>
  </si>
  <si>
    <t>Departamento</t>
  </si>
  <si>
    <t>Cuenta de ppto</t>
  </si>
  <si>
    <t>Banco</t>
  </si>
  <si>
    <t>Precio unitario sin IGV</t>
  </si>
  <si>
    <t>Total sin IGV</t>
  </si>
  <si>
    <t>Condición de pago</t>
  </si>
  <si>
    <t>Comprobante a recibir</t>
  </si>
  <si>
    <t>N° de cuenta</t>
  </si>
  <si>
    <t>30 días</t>
  </si>
  <si>
    <t>Creación del portal del cliente (SAC y R&amp;C)</t>
  </si>
  <si>
    <t>Modificación módulo de contratos (GDH)</t>
  </si>
  <si>
    <t>Soles</t>
  </si>
  <si>
    <t>Modificación del módulo de contratos</t>
  </si>
  <si>
    <t>FU-2023.3-020</t>
  </si>
  <si>
    <t>Cuota 1/2 - 50%</t>
  </si>
  <si>
    <t>Cuota 2/2 - 50%</t>
  </si>
  <si>
    <t xml:space="preserve">FU-2023.3-017 </t>
  </si>
  <si>
    <t>IQ</t>
  </si>
  <si>
    <t>FU-2023.3-018</t>
  </si>
  <si>
    <t>Portal del cliente</t>
  </si>
  <si>
    <t>Portal web del cliente</t>
  </si>
  <si>
    <t>Cuota 1/3 -30%</t>
  </si>
  <si>
    <t>Cuota 2/3 -35%</t>
  </si>
  <si>
    <t>Cuota 3/3- 35%</t>
  </si>
  <si>
    <t>Pendiente 8/14</t>
  </si>
  <si>
    <t>Fecha de solicitud</t>
  </si>
  <si>
    <t>OS00001199</t>
  </si>
  <si>
    <t>OS00001223</t>
  </si>
  <si>
    <t>OS00001224</t>
  </si>
  <si>
    <t>OS00001225</t>
  </si>
  <si>
    <t>Realizado</t>
  </si>
  <si>
    <t>F Venc</t>
  </si>
  <si>
    <t>E001-3267</t>
  </si>
  <si>
    <t>E001-3268</t>
  </si>
  <si>
    <t>E001-3269</t>
  </si>
  <si>
    <t>E001-3270</t>
  </si>
  <si>
    <t>E001-1880</t>
  </si>
  <si>
    <t>E001-3271</t>
  </si>
  <si>
    <t>N° Factura</t>
  </si>
  <si>
    <t>F. Emisión</t>
  </si>
  <si>
    <t>F. Vencimiento</t>
  </si>
  <si>
    <t xml:space="preserve">S/                      727.00 </t>
  </si>
  <si>
    <t xml:space="preserve">S/                   5,295.84 </t>
  </si>
  <si>
    <t xml:space="preserve">S/                   5,669.66 </t>
  </si>
  <si>
    <t xml:space="preserve">S/                   4,267.82 </t>
  </si>
  <si>
    <t xml:space="preserve">S/                   4,818.18 </t>
  </si>
  <si>
    <t xml:space="preserve">S/                   2,422.93 </t>
  </si>
  <si>
    <t>Avanza Soluciones S.A.C</t>
  </si>
  <si>
    <t>Practiplan</t>
  </si>
  <si>
    <t>FU-2023.3-019</t>
  </si>
  <si>
    <t>Nueva forma de pago - SG5</t>
  </si>
  <si>
    <t>E001-3277</t>
  </si>
  <si>
    <t>Cuota 2/2 - 50% (Nov)</t>
  </si>
  <si>
    <t>Cuota 1/2 - 50% (Oct)</t>
  </si>
  <si>
    <t>OS00001257</t>
  </si>
  <si>
    <t>Cuota única (fin de proyecto)</t>
  </si>
  <si>
    <t>E001-3278</t>
  </si>
  <si>
    <t>Pagado</t>
  </si>
  <si>
    <t>OS00001258</t>
  </si>
  <si>
    <t>Modificación en la distribución de espacios</t>
  </si>
  <si>
    <t xml:space="preserve">Cuota 1/2 - 50% </t>
  </si>
  <si>
    <t xml:space="preserve">Cuota 2/2 - 50% </t>
  </si>
  <si>
    <t>FU-2023.3-021</t>
  </si>
  <si>
    <t>Set</t>
  </si>
  <si>
    <t>OS00001281</t>
  </si>
  <si>
    <t>F001-00002194</t>
  </si>
  <si>
    <t>MANTENIMIENTO ERP EXACTUS. PERIODO DEL
20/10/23 AL 20/10/24</t>
  </si>
  <si>
    <t>Nueva forma de pago - CRM</t>
  </si>
  <si>
    <t>E001-3298</t>
  </si>
  <si>
    <t>E001-3299</t>
  </si>
  <si>
    <t>E001-3300</t>
  </si>
  <si>
    <t xml:space="preserve">Llave </t>
  </si>
  <si>
    <t>AÑO</t>
  </si>
  <si>
    <t>Fecha ejecutada</t>
  </si>
  <si>
    <t>Aprobado</t>
  </si>
  <si>
    <t>Fecha aprobada</t>
  </si>
  <si>
    <t>Llave</t>
  </si>
  <si>
    <t>LLave</t>
  </si>
  <si>
    <t>Suma de Ejecutado</t>
  </si>
  <si>
    <t>(en blanco)</t>
  </si>
  <si>
    <t>Ene-23</t>
  </si>
  <si>
    <t>Feb-23</t>
  </si>
  <si>
    <t>Mar-23</t>
  </si>
  <si>
    <t>Abr-23</t>
  </si>
  <si>
    <t>May-23</t>
  </si>
  <si>
    <t>Ago-23</t>
  </si>
  <si>
    <t>Set-23</t>
  </si>
  <si>
    <t>Oct-23</t>
  </si>
  <si>
    <t>Jun-23</t>
  </si>
  <si>
    <t>Jul-23</t>
  </si>
  <si>
    <t>E001-3302</t>
  </si>
  <si>
    <t>FU-2023.4-023</t>
  </si>
  <si>
    <t>Implementación de las NIIF</t>
  </si>
  <si>
    <t>Cuota 1/3 - 30%. Parte 2</t>
  </si>
  <si>
    <t>Cuota 2/3 - 35%. Parte 2</t>
  </si>
  <si>
    <t>Cuota 3/3 -  35%. Parte 2</t>
  </si>
  <si>
    <t/>
  </si>
  <si>
    <t>Mes aprob</t>
  </si>
  <si>
    <t>Validación CUOI - 1° parte (Macros)</t>
  </si>
  <si>
    <t>Modificación de envío de asientos</t>
  </si>
  <si>
    <t>Mejora del proceso de cancelaciones</t>
  </si>
  <si>
    <t>Elaboración de notas de los EEFF</t>
  </si>
  <si>
    <t>Control de obligaciones financieras</t>
  </si>
  <si>
    <t>Mejora pago a proveedores</t>
  </si>
  <si>
    <t>Separación de espacios</t>
  </si>
  <si>
    <t>Automatización de asistencia</t>
  </si>
  <si>
    <t>Búsqueda fallecido cliente</t>
  </si>
  <si>
    <t>Estandarizar procesos SAC</t>
  </si>
  <si>
    <t>Visor</t>
  </si>
  <si>
    <t>P202401</t>
  </si>
  <si>
    <t>P202402</t>
  </si>
  <si>
    <t>P202403</t>
  </si>
  <si>
    <t>P202404</t>
  </si>
  <si>
    <t>P202405</t>
  </si>
  <si>
    <t>P202406</t>
  </si>
  <si>
    <t>P202407</t>
  </si>
  <si>
    <t>P202408</t>
  </si>
  <si>
    <t>P202409</t>
  </si>
  <si>
    <t>P202410</t>
  </si>
  <si>
    <t>P202411</t>
  </si>
  <si>
    <t>JCB</t>
  </si>
  <si>
    <t>EXE</t>
  </si>
  <si>
    <t>Proy. pagados.acum</t>
  </si>
  <si>
    <t>Proy.pagados</t>
  </si>
  <si>
    <t>Proy.aprobados</t>
  </si>
  <si>
    <t>Proy.aprobados.acum</t>
  </si>
  <si>
    <t>E001-3344</t>
  </si>
  <si>
    <t>OS00001394</t>
  </si>
  <si>
    <t>OS00001393</t>
  </si>
  <si>
    <t>E001-3358</t>
  </si>
  <si>
    <t>E001-3359</t>
  </si>
  <si>
    <t>E001-3360</t>
  </si>
  <si>
    <t>E001-3361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</si>
</sst>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_-[$$-409]* #,##0.00_ ;_-[$$-409]* \-#,##0.00\ ;_-[$$-409]* &quot;-&quot;??_ ;_-@_ "/>
    <numFmt numFmtId="165" formatCode="_-&quot;S/&quot;\ * #,##0_-;\-&quot;S/&quot;\ * #,##0_-;_-&quot;S/&quot;\ * &quot;-&quot;??_-;_-@_-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0" fillId="0" borderId="1" xfId="1" applyFont="1" applyBorder="1" applyAlignment="1">
      <alignment vertical="center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4" fontId="0" fillId="5" borderId="1" xfId="0" applyNumberFormat="1" applyFill="1" applyBorder="1" applyAlignment="1">
      <alignment vertical="center"/>
    </xf>
    <xf numFmtId="17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4" fontId="0" fillId="3" borderId="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0" fillId="0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5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4" fontId="5" fillId="5" borderId="1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4" fillId="5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16" borderId="1" xfId="0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0" fontId="0" fillId="0" borderId="0" xfId="2" applyNumberFormat="1" applyFont="1"/>
    <xf numFmtId="16" fontId="0" fillId="0" borderId="0" xfId="0" applyNumberFormat="1"/>
    <xf numFmtId="0" fontId="0" fillId="0" borderId="2" xfId="0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textRotation="90"/>
    </xf>
    <xf numFmtId="0" fontId="0" fillId="6" borderId="3" xfId="0" applyFill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44" fontId="0" fillId="0" borderId="14" xfId="1" applyFon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16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44" fontId="0" fillId="0" borderId="0" xfId="1" applyFont="1"/>
    <xf numFmtId="0" fontId="0" fillId="5" borderId="8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10" fontId="0" fillId="0" borderId="14" xfId="2" applyNumberFormat="1" applyFont="1" applyBorder="1" applyAlignment="1">
      <alignment horizontal="center" vertical="center"/>
    </xf>
    <xf numFmtId="10" fontId="4" fillId="5" borderId="1" xfId="2" applyNumberFormat="1" applyFont="1" applyFill="1" applyBorder="1" applyAlignment="1">
      <alignment horizontal="center" vertical="center"/>
    </xf>
    <xf numFmtId="10" fontId="0" fillId="0" borderId="0" xfId="0" applyNumberFormat="1"/>
    <xf numFmtId="0" fontId="0" fillId="18" borderId="0" xfId="0" applyFill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" fontId="0" fillId="5" borderId="3" xfId="0" applyNumberFormat="1" applyFill="1" applyBorder="1" applyAlignment="1">
      <alignment horizontal="center"/>
    </xf>
    <xf numFmtId="44" fontId="0" fillId="5" borderId="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44" fontId="0" fillId="0" borderId="14" xfId="1" applyFont="1" applyBorder="1"/>
    <xf numFmtId="44" fontId="0" fillId="0" borderId="14" xfId="1" applyFont="1" applyBorder="1" applyAlignment="1">
      <alignment horizontal="center"/>
    </xf>
    <xf numFmtId="44" fontId="0" fillId="0" borderId="0" xfId="0" applyNumberFormat="1"/>
    <xf numFmtId="17" fontId="0" fillId="0" borderId="1" xfId="0" applyNumberFormat="1" applyBorder="1" applyAlignment="1">
      <alignment horizontal="center"/>
    </xf>
    <xf numFmtId="17" fontId="0" fillId="0" borderId="0" xfId="0" applyNumberFormat="1" applyAlignment="1">
      <alignment horizontal="left"/>
    </xf>
    <xf numFmtId="16" fontId="0" fillId="17" borderId="1" xfId="0" applyNumberFormat="1" applyFill="1" applyBorder="1" applyAlignment="1">
      <alignment horizontal="center"/>
    </xf>
    <xf numFmtId="16" fontId="0" fillId="14" borderId="3" xfId="0" applyNumberFormat="1" applyFill="1" applyBorder="1" applyAlignment="1">
      <alignment horizontal="center"/>
    </xf>
    <xf numFmtId="17" fontId="0" fillId="0" borderId="1" xfId="1" applyNumberFormat="1" applyFont="1" applyBorder="1" applyAlignment="1">
      <alignment horizontal="center" vertical="center"/>
    </xf>
    <xf numFmtId="17" fontId="0" fillId="0" borderId="14" xfId="1" applyNumberFormat="1" applyFont="1" applyBorder="1" applyAlignment="1">
      <alignment horizontal="center" vertical="center"/>
    </xf>
    <xf numFmtId="0" fontId="0" fillId="14" borderId="3" xfId="0" applyFill="1" applyBorder="1" applyAlignment="1">
      <alignment horizontal="center" vertical="center" wrapText="1"/>
    </xf>
    <xf numFmtId="10" fontId="0" fillId="14" borderId="3" xfId="2" applyNumberFormat="1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textRotation="90"/>
    </xf>
    <xf numFmtId="10" fontId="0" fillId="0" borderId="1" xfId="2" applyNumberFormat="1" applyFont="1" applyBorder="1" applyAlignment="1">
      <alignment horizontal="center"/>
    </xf>
    <xf numFmtId="16" fontId="0" fillId="14" borderId="3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65" fontId="0" fillId="0" borderId="1" xfId="1" applyNumberFormat="1" applyFont="1" applyBorder="1"/>
    <xf numFmtId="0" fontId="12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0" fillId="20" borderId="1" xfId="0" applyFill="1" applyBorder="1"/>
    <xf numFmtId="44" fontId="0" fillId="0" borderId="1" xfId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14" fillId="21" borderId="16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/>
    </xf>
    <xf numFmtId="0" fontId="14" fillId="21" borderId="0" xfId="0" applyFont="1" applyFill="1" applyAlignment="1">
      <alignment horizontal="center" vertical="center"/>
    </xf>
    <xf numFmtId="0" fontId="15" fillId="22" borderId="1" xfId="0" applyFont="1" applyFill="1" applyBorder="1" applyAlignment="1">
      <alignment vertical="center"/>
    </xf>
    <xf numFmtId="0" fontId="15" fillId="22" borderId="1" xfId="0" applyFont="1" applyFill="1" applyBorder="1" applyAlignment="1">
      <alignment horizontal="center" vertical="center"/>
    </xf>
    <xf numFmtId="14" fontId="15" fillId="2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19" borderId="1" xfId="0" quotePrefix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44" fontId="0" fillId="19" borderId="1" xfId="1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/>
    </xf>
    <xf numFmtId="16" fontId="0" fillId="19" borderId="1" xfId="0" applyNumberFormat="1" applyFill="1" applyBorder="1" applyAlignment="1">
      <alignment horizontal="center"/>
    </xf>
    <xf numFmtId="0" fontId="14" fillId="21" borderId="17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14" fontId="15" fillId="0" borderId="14" xfId="0" applyNumberFormat="1" applyFont="1" applyBorder="1" applyAlignment="1">
      <alignment horizontal="center" vertical="center"/>
    </xf>
    <xf numFmtId="44" fontId="14" fillId="21" borderId="15" xfId="1" applyFont="1" applyFill="1" applyBorder="1" applyAlignment="1">
      <alignment horizontal="center" vertical="center"/>
    </xf>
    <xf numFmtId="44" fontId="15" fillId="22" borderId="1" xfId="1" applyFont="1" applyFill="1" applyBorder="1" applyAlignment="1">
      <alignment horizontal="center" vertical="center"/>
    </xf>
    <xf numFmtId="44" fontId="15" fillId="0" borderId="1" xfId="1" applyFont="1" applyBorder="1" applyAlignment="1">
      <alignment vertical="center"/>
    </xf>
    <xf numFmtId="44" fontId="15" fillId="22" borderId="1" xfId="1" applyFont="1" applyFill="1" applyBorder="1" applyAlignment="1">
      <alignment vertical="center"/>
    </xf>
    <xf numFmtId="44" fontId="15" fillId="0" borderId="14" xfId="1" applyFont="1" applyBorder="1" applyAlignment="1">
      <alignment vertical="center"/>
    </xf>
    <xf numFmtId="44" fontId="0" fillId="0" borderId="1" xfId="1" applyFont="1" applyFill="1" applyBorder="1"/>
    <xf numFmtId="165" fontId="0" fillId="0" borderId="1" xfId="1" applyNumberFormat="1" applyFont="1" applyFill="1" applyBorder="1"/>
    <xf numFmtId="17" fontId="0" fillId="0" borderId="0" xfId="0" applyNumberFormat="1" applyAlignment="1">
      <alignment horizontal="center"/>
    </xf>
    <xf numFmtId="17" fontId="0" fillId="5" borderId="3" xfId="0" applyNumberFormat="1" applyFill="1" applyBorder="1" applyAlignment="1">
      <alignment horizontal="center"/>
    </xf>
    <xf numFmtId="17" fontId="0" fillId="0" borderId="14" xfId="0" applyNumberFormat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applyNumberFormat="1"/>
    <xf numFmtId="17" fontId="0" fillId="0" borderId="0" xfId="1" applyNumberFormat="1" applyFont="1"/>
    <xf numFmtId="44" fontId="0" fillId="0" borderId="0" xfId="0" applyNumberFormat="1" applyAlignment="1">
      <alignment vertical="center"/>
    </xf>
    <xf numFmtId="16" fontId="0" fillId="0" borderId="14" xfId="0" applyNumberFormat="1" applyBorder="1" applyAlignment="1">
      <alignment horizontal="center"/>
    </xf>
    <xf numFmtId="0" fontId="0" fillId="19" borderId="1" xfId="0" applyFill="1" applyBorder="1" applyAlignment="1">
      <alignment vertical="center"/>
    </xf>
    <xf numFmtId="0" fontId="0" fillId="19" borderId="1" xfId="0" quotePrefix="1" applyFill="1" applyBorder="1" applyAlignment="1">
      <alignment vertical="center" wrapText="1"/>
    </xf>
    <xf numFmtId="0" fontId="0" fillId="19" borderId="1" xfId="0" applyFill="1" applyBorder="1" applyAlignment="1">
      <alignment vertical="center" wrapText="1"/>
    </xf>
    <xf numFmtId="44" fontId="0" fillId="19" borderId="1" xfId="1" applyFont="1" applyFill="1" applyBorder="1" applyAlignment="1">
      <alignment vertical="center"/>
    </xf>
    <xf numFmtId="0" fontId="0" fillId="19" borderId="1" xfId="0" applyFill="1" applyBorder="1"/>
    <xf numFmtId="166" fontId="0" fillId="19" borderId="1" xfId="3" applyNumberFormat="1" applyFont="1" applyFill="1" applyBorder="1" applyAlignment="1">
      <alignment vertical="center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14" fontId="0" fillId="0" borderId="0" xfId="0" pivotButton="1" applyNumberFormat="1"/>
    <xf numFmtId="16" fontId="0" fillId="17" borderId="14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19" borderId="0" xfId="0" applyFont="1" applyFill="1" applyAlignment="1">
      <alignment horizontal="center" vertical="center"/>
    </xf>
    <xf numFmtId="10" fontId="10" fillId="19" borderId="0" xfId="0" applyNumberFormat="1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/>
    </xf>
    <xf numFmtId="0" fontId="7" fillId="1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textRotation="90"/>
    </xf>
    <xf numFmtId="0" fontId="0" fillId="6" borderId="1" xfId="0" applyFill="1" applyBorder="1" applyAlignment="1">
      <alignment horizontal="center" vertical="center" textRotation="90"/>
    </xf>
    <xf numFmtId="0" fontId="0" fillId="11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44" fontId="0" fillId="0" borderId="1" xfId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16" fontId="0" fillId="0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115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4" formatCode="0.00%"/>
    </dxf>
    <dxf>
      <numFmt numFmtId="14" formatCode="0.00%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9" formatCode="d/mm/yyyy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22" formatCode="mmm\-yy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1" formatCode="d\-m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S/&quot;\ * #,##0.00_-;\-&quot;S/&quot;\ * #,##0.00_-;_-&quot;S/&quot;\ * &quot;-&quot;??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S/&quot;\ * #,##0.00_-;\-&quot;S/&quot;\ * #,##0.00_-;_-&quot;S/&quot;\ * &quot;-&quot;??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S/&quot;\ * #,##0.00_-;\-&quot;S/&quot;\ * #,##0.00_-;_-&quot;S/&quot;\ * &quot;-&quot;??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microsoft.com/office/2007/relationships/slicerCache" Target="slicerCaches/slicerCach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[Copia de Consolidado proyectos.xlsx]DASHBOARD!TablaDinámica9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Proyectos pagados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2225" cap="rnd" cmpd="sng" algn="ctr">
            <a:noFill/>
            <a:round/>
          </a:ln>
          <a:effectLst/>
        </c:spPr>
        <c:marker>
          <c:symbol val="circle"/>
          <c:size val="4"/>
          <c:spPr>
            <a:solidFill>
              <a:schemeClr val="accent2"/>
            </a:solidFill>
            <a:ln w="0" cap="flat" cmpd="sng" algn="ctr">
              <a:solidFill>
                <a:schemeClr val="bg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DASHBOARD!$G$1</c:f>
              <c:strCache>
                <c:ptCount val="1"/>
                <c:pt idx="0">
                  <c:v>Proy.pagados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DASHBOARD!$F$2:$F$13</c:f>
              <c:multiLvlStrCache>
                <c:ptCount val="10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Abr-23</c:v>
                  </c:pt>
                  <c:pt idx="3">
                    <c:v>May-23</c:v>
                  </c:pt>
                  <c:pt idx="4">
                    <c:v>Jun-23</c:v>
                  </c:pt>
                  <c:pt idx="5">
                    <c:v>Jul-23</c:v>
                  </c:pt>
                  <c:pt idx="6">
                    <c:v>Ago-23</c:v>
                  </c:pt>
                  <c:pt idx="7">
                    <c:v>Set-23</c:v>
                  </c:pt>
                  <c:pt idx="8">
                    <c:v>Oct-23</c:v>
                  </c:pt>
                  <c:pt idx="9">
                    <c:v>(en blanco)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DASHBOARD!$G$2:$G$13</c:f>
              <c:numCache>
                <c:formatCode>_("S/"* #,##0.00_);_("S/"* \(#,##0.00\);_("S/"* "-"??_);_(@_)</c:formatCode>
                <c:ptCount val="10"/>
                <c:pt idx="0">
                  <c:v>1780</c:v>
                </c:pt>
                <c:pt idx="1">
                  <c:v>1200</c:v>
                </c:pt>
                <c:pt idx="2">
                  <c:v>11700</c:v>
                </c:pt>
                <c:pt idx="3">
                  <c:v>6405</c:v>
                </c:pt>
                <c:pt idx="4">
                  <c:v>10990</c:v>
                </c:pt>
                <c:pt idx="5">
                  <c:v>9745</c:v>
                </c:pt>
                <c:pt idx="6">
                  <c:v>5460</c:v>
                </c:pt>
                <c:pt idx="7">
                  <c:v>17710</c:v>
                </c:pt>
                <c:pt idx="8">
                  <c:v>15235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5-4C66-9159-21718353AF59}"/>
            </c:ext>
          </c:extLst>
        </c:ser>
        <c:ser>
          <c:idx val="1"/>
          <c:order val="1"/>
          <c:tx>
            <c:strRef>
              <c:f>DASHBOARD!$H$1</c:f>
              <c:strCache>
                <c:ptCount val="1"/>
                <c:pt idx="0">
                  <c:v>Proy. pagados.acum</c:v>
                </c:pt>
              </c:strCache>
            </c:strRef>
          </c:tx>
          <c:spPr>
            <a:ln w="22225" cap="rnd" cmpd="sng" algn="ctr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0" cap="flat" cmpd="sng" algn="ctr">
                <a:solidFill>
                  <a:schemeClr val="bg1"/>
                </a:solidFill>
                <a:round/>
              </a:ln>
              <a:effectLst/>
            </c:spPr>
          </c:marker>
          <c:cat>
            <c:multiLvlStrRef>
              <c:f>DASHBOARD!$F$2:$F$13</c:f>
              <c:multiLvlStrCache>
                <c:ptCount val="10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Abr-23</c:v>
                  </c:pt>
                  <c:pt idx="3">
                    <c:v>May-23</c:v>
                  </c:pt>
                  <c:pt idx="4">
                    <c:v>Jun-23</c:v>
                  </c:pt>
                  <c:pt idx="5">
                    <c:v>Jul-23</c:v>
                  </c:pt>
                  <c:pt idx="6">
                    <c:v>Ago-23</c:v>
                  </c:pt>
                  <c:pt idx="7">
                    <c:v>Set-23</c:v>
                  </c:pt>
                  <c:pt idx="8">
                    <c:v>Oct-23</c:v>
                  </c:pt>
                  <c:pt idx="9">
                    <c:v>(en blanco)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DASHBOARD!$H$2:$H$13</c:f>
              <c:numCache>
                <c:formatCode>_("S/"* #,##0.00_);_("S/"* \(#,##0.00\);_("S/"* "-"??_);_(@_)</c:formatCode>
                <c:ptCount val="10"/>
                <c:pt idx="0">
                  <c:v>1780</c:v>
                </c:pt>
                <c:pt idx="1">
                  <c:v>2980</c:v>
                </c:pt>
                <c:pt idx="2">
                  <c:v>14680</c:v>
                </c:pt>
                <c:pt idx="3">
                  <c:v>21085</c:v>
                </c:pt>
                <c:pt idx="4">
                  <c:v>32075</c:v>
                </c:pt>
                <c:pt idx="5">
                  <c:v>41820</c:v>
                </c:pt>
                <c:pt idx="6">
                  <c:v>47280</c:v>
                </c:pt>
                <c:pt idx="7">
                  <c:v>64990</c:v>
                </c:pt>
                <c:pt idx="8">
                  <c:v>80225</c:v>
                </c:pt>
                <c:pt idx="9">
                  <c:v>80225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9D-4707-81A4-E1EC87A55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89487"/>
        <c:axId val="1438867999"/>
      </c:lineChart>
      <c:catAx>
        <c:axId val="69208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38867999"/>
        <c:crosses val="autoZero"/>
        <c:auto val="1"/>
        <c:lblAlgn val="ctr"/>
        <c:lblOffset val="100"/>
        <c:noMultiLvlLbl val="0"/>
      </c:catAx>
      <c:valAx>
        <c:axId val="1438867999"/>
        <c:scaling>
          <c:orientation val="minMax"/>
        </c:scaling>
        <c:delete val="0"/>
        <c:axPos val="l"/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9208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[Copia de Consolidado proyectos.xlsx]DASHBOARD!TablaDinámica10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Proyectos aprobados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2"/>
            </a:solidFill>
            <a:ln w="9525" cap="flat" cmpd="sng" algn="ctr">
              <a:solidFill>
                <a:schemeClr val="accent2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DASHBOARD!$L$1</c:f>
              <c:strCache>
                <c:ptCount val="1"/>
                <c:pt idx="0">
                  <c:v>Proy.aprobados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DASHBOARD!$K$2:$K$12</c:f>
              <c:multiLvlStrCache>
                <c:ptCount val="9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Mar-23</c:v>
                  </c:pt>
                  <c:pt idx="3">
                    <c:v>Abr-23</c:v>
                  </c:pt>
                  <c:pt idx="4">
                    <c:v>May-23</c:v>
                  </c:pt>
                  <c:pt idx="5">
                    <c:v>Ago-23</c:v>
                  </c:pt>
                  <c:pt idx="6">
                    <c:v>Set-23</c:v>
                  </c:pt>
                  <c:pt idx="7">
                    <c:v>Oct-23</c:v>
                  </c:pt>
                  <c:pt idx="8">
                    <c:v>(en blanco)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DASHBOARD!$L$2:$L$12</c:f>
              <c:numCache>
                <c:formatCode>_("S/"* #,##0.00_);_("S/"* \(#,##0.00\);_("S/"* "-"??_);_(@_)</c:formatCode>
                <c:ptCount val="9"/>
                <c:pt idx="0">
                  <c:v>1780</c:v>
                </c:pt>
                <c:pt idx="1">
                  <c:v>1200</c:v>
                </c:pt>
                <c:pt idx="2">
                  <c:v>51580</c:v>
                </c:pt>
                <c:pt idx="3">
                  <c:v>925</c:v>
                </c:pt>
                <c:pt idx="4">
                  <c:v>8000</c:v>
                </c:pt>
                <c:pt idx="5">
                  <c:v>23680</c:v>
                </c:pt>
                <c:pt idx="6">
                  <c:v>10850</c:v>
                </c:pt>
                <c:pt idx="7">
                  <c:v>35500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A-47D0-A4CB-AC047D9489A3}"/>
            </c:ext>
          </c:extLst>
        </c:ser>
        <c:ser>
          <c:idx val="1"/>
          <c:order val="1"/>
          <c:tx>
            <c:strRef>
              <c:f>DASHBOARD!$M$1</c:f>
              <c:strCache>
                <c:ptCount val="1"/>
                <c:pt idx="0">
                  <c:v>Proy.aprobados.acum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DASHBOARD!$K$2:$K$12</c:f>
              <c:multiLvlStrCache>
                <c:ptCount val="9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Mar-23</c:v>
                  </c:pt>
                  <c:pt idx="3">
                    <c:v>Abr-23</c:v>
                  </c:pt>
                  <c:pt idx="4">
                    <c:v>May-23</c:v>
                  </c:pt>
                  <c:pt idx="5">
                    <c:v>Ago-23</c:v>
                  </c:pt>
                  <c:pt idx="6">
                    <c:v>Set-23</c:v>
                  </c:pt>
                  <c:pt idx="7">
                    <c:v>Oct-23</c:v>
                  </c:pt>
                  <c:pt idx="8">
                    <c:v>(en blanco)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DASHBOARD!$M$2:$M$12</c:f>
              <c:numCache>
                <c:formatCode>_("S/"* #,##0.00_);_("S/"* \(#,##0.00\);_("S/"* "-"??_);_(@_)</c:formatCode>
                <c:ptCount val="9"/>
                <c:pt idx="0">
                  <c:v>1780</c:v>
                </c:pt>
                <c:pt idx="1">
                  <c:v>2980</c:v>
                </c:pt>
                <c:pt idx="2">
                  <c:v>54560</c:v>
                </c:pt>
                <c:pt idx="3">
                  <c:v>55485</c:v>
                </c:pt>
                <c:pt idx="4">
                  <c:v>63485</c:v>
                </c:pt>
                <c:pt idx="5">
                  <c:v>87165</c:v>
                </c:pt>
                <c:pt idx="6">
                  <c:v>98015</c:v>
                </c:pt>
                <c:pt idx="7">
                  <c:v>133515</c:v>
                </c:pt>
                <c:pt idx="8">
                  <c:v>133515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A8-4B82-B772-5812C8A22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600351"/>
        <c:axId val="1330407455"/>
      </c:lineChart>
      <c:catAx>
        <c:axId val="134660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30407455"/>
        <c:crosses val="autoZero"/>
        <c:auto val="1"/>
        <c:lblAlgn val="ctr"/>
        <c:lblOffset val="100"/>
        <c:noMultiLvlLbl val="0"/>
      </c:catAx>
      <c:valAx>
        <c:axId val="1330407455"/>
        <c:scaling>
          <c:orientation val="minMax"/>
        </c:scaling>
        <c:delete val="0"/>
        <c:axPos val="l"/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46600351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[Copia de Consolidado proyectos.xlsx]TD!TablaDinámica2</c:name>
    <c:fmtId val="1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7.5000000000000025E-2"/>
              <c:y val="-7.870370370370370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-1.1111111111111212E-2"/>
              <c:y val="-4.629629629629633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layout>
            <c:manualLayout>
              <c:x val="-9.166666666666666E-2"/>
              <c:y val="-3.703703703703712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-8.333333333333344E-2"/>
              <c:y val="3.703703703703695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-7.5000000000000108E-2"/>
              <c:y val="4.62962962962962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5.0000000000000051E-2"/>
              <c:y val="-4.166666666666666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9.4444444444444553E-2"/>
              <c:y val="-3.24074074074074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6.6666666666666666E-2"/>
              <c:y val="-4.166666666666666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6.3888888888888884E-2"/>
              <c:y val="2.7777777777777776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7.5781230753677155E-3"/>
              <c:y val="-5.980716084793585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8404013183035882E-2"/>
              <c:y val="-5.980716084793585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TD!$F$5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93-4848-B593-AE8C0128A97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5FD-4E98-B885-9B10ED18D92C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75FD-4E98-B885-9B10ED18D92C}"/>
              </c:ext>
            </c:extLst>
          </c:dPt>
          <c:dLbls>
            <c:dLbl>
              <c:idx val="7"/>
              <c:layout>
                <c:manualLayout>
                  <c:x val="-7.5781230753677155E-3"/>
                  <c:y val="-5.9807160847935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93-4848-B593-AE8C0128A97B}"/>
                </c:ext>
              </c:extLst>
            </c:dLbl>
            <c:dLbl>
              <c:idx val="8"/>
              <c:layout>
                <c:manualLayout>
                  <c:x val="-1.8404013183035882E-2"/>
                  <c:y val="-5.9807160847935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FD-4E98-B885-9B10ED18D9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TD!$E$6:$E$18</c:f>
              <c:strCache>
                <c:ptCount val="12"/>
                <c:pt idx="0">
                  <c:v>Ene-23</c:v>
                </c:pt>
                <c:pt idx="1">
                  <c:v>Feb-23</c:v>
                </c:pt>
                <c:pt idx="2">
                  <c:v>Abr-23</c:v>
                </c:pt>
                <c:pt idx="3">
                  <c:v>May-23</c:v>
                </c:pt>
                <c:pt idx="4">
                  <c:v>Jun-23</c:v>
                </c:pt>
                <c:pt idx="5">
                  <c:v>Jul-23</c:v>
                </c:pt>
                <c:pt idx="6">
                  <c:v>Ago-23</c:v>
                </c:pt>
                <c:pt idx="7">
                  <c:v>Set-23</c:v>
                </c:pt>
                <c:pt idx="8">
                  <c:v>Oct-23</c:v>
                </c:pt>
                <c:pt idx="9">
                  <c:v>Nov-23</c:v>
                </c:pt>
                <c:pt idx="10">
                  <c:v>Dic-23</c:v>
                </c:pt>
                <c:pt idx="11">
                  <c:v>Ene-24</c:v>
                </c:pt>
              </c:strCache>
            </c:strRef>
          </c:cat>
          <c:val>
            <c:numRef>
              <c:f>TD!$F$6:$F$18</c:f>
              <c:numCache>
                <c:formatCode>_("S/"* #,##0.00_);_("S/"* \(#,##0.00\);_("S/"* "-"??_);_(@_)</c:formatCode>
                <c:ptCount val="12"/>
                <c:pt idx="0">
                  <c:v>1780</c:v>
                </c:pt>
                <c:pt idx="1">
                  <c:v>1200</c:v>
                </c:pt>
                <c:pt idx="2">
                  <c:v>11700</c:v>
                </c:pt>
                <c:pt idx="3">
                  <c:v>6405</c:v>
                </c:pt>
                <c:pt idx="4">
                  <c:v>10990</c:v>
                </c:pt>
                <c:pt idx="5">
                  <c:v>9745</c:v>
                </c:pt>
                <c:pt idx="6">
                  <c:v>5460</c:v>
                </c:pt>
                <c:pt idx="7">
                  <c:v>20195</c:v>
                </c:pt>
                <c:pt idx="8">
                  <c:v>26505</c:v>
                </c:pt>
                <c:pt idx="9">
                  <c:v>19785</c:v>
                </c:pt>
                <c:pt idx="10">
                  <c:v>9100</c:v>
                </c:pt>
                <c:pt idx="11">
                  <c:v>10650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3-4748-9F28-B7A59875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972048"/>
        <c:axId val="389961008"/>
      </c:lineChart>
      <c:catAx>
        <c:axId val="38997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9961008"/>
        <c:crosses val="autoZero"/>
        <c:auto val="1"/>
        <c:lblAlgn val="ctr"/>
        <c:lblOffset val="100"/>
        <c:noMultiLvlLbl val="0"/>
      </c:catAx>
      <c:valAx>
        <c:axId val="38996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997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[Copia de Consolidado proyectos.xlsx]TD!TablaDinámica3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TD!$J$5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TD!$I$6:$I$12</c:f>
              <c:strCache>
                <c:ptCount val="6"/>
                <c:pt idx="0">
                  <c:v>Ene-00</c:v>
                </c:pt>
                <c:pt idx="1">
                  <c:v>Ene-23</c:v>
                </c:pt>
                <c:pt idx="2">
                  <c:v>Feb-23</c:v>
                </c:pt>
                <c:pt idx="3">
                  <c:v>Mar-23</c:v>
                </c:pt>
                <c:pt idx="4">
                  <c:v>Abr-23</c:v>
                </c:pt>
                <c:pt idx="5">
                  <c:v>May-23</c:v>
                </c:pt>
              </c:strCache>
            </c:strRef>
          </c:cat>
          <c:val>
            <c:numRef>
              <c:f>TD!$J$6:$J$12</c:f>
              <c:numCache>
                <c:formatCode>_("S/"* #,##0.00_);_("S/"* \(#,##0.00\);_("S/"* "-"??_);_(@_)</c:formatCode>
                <c:ptCount val="6"/>
                <c:pt idx="0">
                  <c:v>49900</c:v>
                </c:pt>
                <c:pt idx="1">
                  <c:v>1780</c:v>
                </c:pt>
                <c:pt idx="2">
                  <c:v>1200</c:v>
                </c:pt>
                <c:pt idx="3">
                  <c:v>62430</c:v>
                </c:pt>
                <c:pt idx="4">
                  <c:v>925</c:v>
                </c:pt>
                <c:pt idx="5">
                  <c:v>17280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6C-40A2-8CE1-1A214EE92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485136"/>
        <c:axId val="457467376"/>
      </c:lineChart>
      <c:catAx>
        <c:axId val="45748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7467376"/>
        <c:crosses val="autoZero"/>
        <c:auto val="1"/>
        <c:lblAlgn val="ctr"/>
        <c:lblOffset val="100"/>
        <c:noMultiLvlLbl val="0"/>
      </c:catAx>
      <c:valAx>
        <c:axId val="4574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748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Proyectos</a:t>
            </a:r>
            <a:r>
              <a:rPr lang="en-US" baseline="0"/>
              <a:t> aprobados (S/)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Resumen!$B$8</c:f>
              <c:strCache>
                <c:ptCount val="1"/>
                <c:pt idx="0">
                  <c:v>Proy aprob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270643211478105E-2"/>
                  <c:y val="-4.2379792180511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51-47F3-9118-38888DF4FDF4}"/>
                </c:ext>
              </c:extLst>
            </c:dLbl>
            <c:dLbl>
              <c:idx val="1"/>
              <c:layout>
                <c:manualLayout>
                  <c:x val="-1.4908257284591236E-3"/>
                  <c:y val="-2.648737011281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51-47F3-9118-38888DF4FDF4}"/>
                </c:ext>
              </c:extLst>
            </c:dLbl>
            <c:dLbl>
              <c:idx val="2"/>
              <c:layout>
                <c:manualLayout>
                  <c:x val="-2.9816514569182473E-3"/>
                  <c:y val="-3.178484413538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51-47F3-9118-38888DF4FDF4}"/>
                </c:ext>
              </c:extLst>
            </c:dLbl>
            <c:dLbl>
              <c:idx val="3"/>
              <c:layout>
                <c:manualLayout>
                  <c:x val="-6.1123854866824069E-2"/>
                  <c:y val="-3.1784844135383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51-47F3-9118-38888DF4FDF4}"/>
                </c:ext>
              </c:extLst>
            </c:dLbl>
            <c:dLbl>
              <c:idx val="4"/>
              <c:layout>
                <c:manualLayout>
                  <c:x val="-1.4908257284591783E-3"/>
                  <c:y val="1.5892422067691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51-47F3-9118-38888DF4FDF4}"/>
                </c:ext>
              </c:extLst>
            </c:dLbl>
            <c:dLbl>
              <c:idx val="7"/>
              <c:layout>
                <c:manualLayout>
                  <c:x val="-8.9449543707548502E-3"/>
                  <c:y val="-2.1189896090255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51-47F3-9118-38888DF4FDF4}"/>
                </c:ext>
              </c:extLst>
            </c:dLbl>
            <c:dLbl>
              <c:idx val="8"/>
              <c:layout>
                <c:manualLayout>
                  <c:x val="-2.2362385926886854E-2"/>
                  <c:y val="-5.2974740225639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51-47F3-9118-38888DF4FDF4}"/>
                </c:ext>
              </c:extLst>
            </c:dLbl>
            <c:dLbl>
              <c:idx val="9"/>
              <c:layout>
                <c:manualLayout>
                  <c:x val="-1.0435780099213974E-2"/>
                  <c:y val="-2.1189896090255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51-47F3-9118-38888DF4FD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Resumen!$C$8:$N$8</c:f>
              <c:numCache>
                <c:formatCode>_-"S/"\ * #,##0_-;\-"S/"\ * #,##0_-;_-"S/"\ * "-"??_-;_-@_-</c:formatCode>
                <c:ptCount val="12"/>
                <c:pt idx="0">
                  <c:v>1780</c:v>
                </c:pt>
                <c:pt idx="1">
                  <c:v>1200</c:v>
                </c:pt>
                <c:pt idx="2">
                  <c:v>51580</c:v>
                </c:pt>
                <c:pt idx="3">
                  <c:v>925</c:v>
                </c:pt>
                <c:pt idx="4">
                  <c:v>8000</c:v>
                </c:pt>
                <c:pt idx="7">
                  <c:v>23680</c:v>
                </c:pt>
                <c:pt idx="8">
                  <c:v>10850</c:v>
                </c:pt>
                <c:pt idx="9">
                  <c:v>11200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1-47F3-9118-38888DF4F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71823"/>
        <c:axId val="27499935"/>
      </c:lineChart>
      <c:catAx>
        <c:axId val="66507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499935"/>
        <c:crosses val="autoZero"/>
        <c:auto val="1"/>
        <c:lblAlgn val="ctr"/>
        <c:lblOffset val="100"/>
        <c:noMultiLvlLbl val="0"/>
      </c:catAx>
      <c:valAx>
        <c:axId val="2749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S/&quot;\ * #,##0_-;\-&quot;S/&quot;\ * #,##0_-;_-&quot;S/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5071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78741</xdr:colOff>
      <xdr:row>16</xdr:row>
      <xdr:rowOff>25400</xdr:rowOff>
    </xdr:from>
    <xdr:to>
      <xdr:col>10</xdr:col>
      <xdr:colOff>0</xdr:colOff>
      <xdr:row>42</xdr:row>
      <xdr:rowOff>127000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8389E9-47E1-1442-45CF-A25FD84267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355600</xdr:colOff>
      <xdr:row>14</xdr:row>
      <xdr:rowOff>16902</xdr:rowOff>
    </xdr:from>
    <xdr:to>
      <xdr:col>22</xdr:col>
      <xdr:colOff>228600</xdr:colOff>
      <xdr:row>39</xdr:row>
      <xdr:rowOff>139700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934B103-B45D-FF0C-1832-C7323001B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1582615</xdr:colOff>
      <xdr:row>32</xdr:row>
      <xdr:rowOff>97694</xdr:rowOff>
    </xdr:from>
    <xdr:to>
      <xdr:col>13</xdr:col>
      <xdr:colOff>281598</xdr:colOff>
      <xdr:row>47</xdr:row>
      <xdr:rowOff>74002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665DE7B-5F23-4D28-A4A7-457942532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1304925</xdr:colOff>
      <xdr:row>45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ño Proy">
              <a:extLst>
                <a:ext uri="{FF2B5EF4-FFF2-40B4-BE49-F238E27FC236}">
                  <a16:creationId xmlns:a16="http://schemas.microsoft.com/office/drawing/2014/main" id="{7765E280-0D43-49F0-8FA0-AD00E05F46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Pro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0" y="5715000"/>
              <a:ext cx="13049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1704974</xdr:colOff>
      <xdr:row>11</xdr:row>
      <xdr:rowOff>0</xdr:rowOff>
    </xdr:from>
    <xdr:to>
      <xdr:col>13</xdr:col>
      <xdr:colOff>428624</xdr:colOff>
      <xdr:row>25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8D274AC-458B-420C-AE0A-A7E602DFE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1276350</xdr:colOff>
      <xdr:row>24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Año Proy 1">
              <a:extLst>
                <a:ext uri="{FF2B5EF4-FFF2-40B4-BE49-F238E27FC236}">
                  <a16:creationId xmlns:a16="http://schemas.microsoft.com/office/drawing/2014/main" id="{5A9E0459-42E9-4F52-92F4-29E90FD07E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Pro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0" y="1714500"/>
              <a:ext cx="1276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2</xdr:col>
      <xdr:colOff>39076</xdr:colOff>
      <xdr:row>10</xdr:row>
      <xdr:rowOff>64476</xdr:rowOff>
    </xdr:from>
    <xdr:to>
      <xdr:col>13</xdr:col>
      <xdr:colOff>449384</xdr:colOff>
      <xdr:row>25</xdr:row>
      <xdr:rowOff>68384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19B3AA-21C6-5C78-5597-E071E833D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</xdr:row>
      <xdr:rowOff>47625</xdr:rowOff>
    </xdr:from>
    <xdr:to>
      <xdr:col>2</xdr:col>
      <xdr:colOff>19561</xdr:colOff>
      <xdr:row>99</xdr:row>
      <xdr:rowOff>28812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68DDA9-5D8D-4596-92C2-90BA78656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4825"/>
          <a:ext cx="3658111" cy="1695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52</xdr:row>
      <xdr:rowOff>47625</xdr:rowOff>
    </xdr:from>
    <xdr:to>
      <xdr:col>1</xdr:col>
      <xdr:colOff>1610236</xdr:colOff>
      <xdr:row>61</xdr:row>
      <xdr:rowOff>28812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2D7EEC-7E8C-4A8C-A6B5-BC39CD4C9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4601825"/>
          <a:ext cx="3658111" cy="1695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oque/AppData/Local/Microsoft/Windows/INetCache/Content.Outlook/MH3XOAG1/Intereses%20por%20presta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dor Financiero"/>
      <sheetName val="Data"/>
    </sheetNames>
    <sheetDataSet>
      <sheetData sheetId="0"/>
      <sheetData sheetId="1">
        <row r="1">
          <cell r="A1">
            <v>1</v>
          </cell>
        </row>
        <row r="6">
          <cell r="B6">
            <v>1</v>
          </cell>
          <cell r="C6" t="str">
            <v>Diario</v>
          </cell>
          <cell r="D6">
            <v>1</v>
          </cell>
          <cell r="E6">
            <v>360</v>
          </cell>
          <cell r="F6" t="str">
            <v>dias</v>
          </cell>
        </row>
        <row r="7">
          <cell r="B7">
            <v>2</v>
          </cell>
          <cell r="C7" t="str">
            <v>Semanal</v>
          </cell>
          <cell r="D7">
            <v>7</v>
          </cell>
          <cell r="E7">
            <v>51</v>
          </cell>
          <cell r="F7" t="str">
            <v>semanas</v>
          </cell>
        </row>
        <row r="8">
          <cell r="B8">
            <v>3</v>
          </cell>
          <cell r="C8" t="str">
            <v>Mensual</v>
          </cell>
          <cell r="D8">
            <v>30</v>
          </cell>
          <cell r="E8">
            <v>12</v>
          </cell>
          <cell r="F8" t="str">
            <v>meses</v>
          </cell>
        </row>
        <row r="9">
          <cell r="B9">
            <v>4</v>
          </cell>
          <cell r="C9" t="str">
            <v>Bimestral</v>
          </cell>
          <cell r="D9">
            <v>60</v>
          </cell>
          <cell r="E9">
            <v>6</v>
          </cell>
          <cell r="F9" t="str">
            <v>bimestres</v>
          </cell>
        </row>
        <row r="10">
          <cell r="B10">
            <v>5</v>
          </cell>
          <cell r="C10" t="str">
            <v>Trimestral</v>
          </cell>
          <cell r="D10">
            <v>90</v>
          </cell>
          <cell r="E10">
            <v>4</v>
          </cell>
          <cell r="F10" t="str">
            <v>trimestres</v>
          </cell>
        </row>
        <row r="11">
          <cell r="B11">
            <v>6</v>
          </cell>
          <cell r="C11" t="str">
            <v>Tetramestral</v>
          </cell>
          <cell r="D11">
            <v>120</v>
          </cell>
          <cell r="E11">
            <v>3</v>
          </cell>
          <cell r="F11" t="str">
            <v>tetramestres</v>
          </cell>
        </row>
        <row r="12">
          <cell r="B12">
            <v>7</v>
          </cell>
          <cell r="C12" t="str">
            <v>Semestral</v>
          </cell>
          <cell r="D12">
            <v>180</v>
          </cell>
          <cell r="E12">
            <v>2</v>
          </cell>
          <cell r="F12" t="str">
            <v>semestres</v>
          </cell>
        </row>
        <row r="13">
          <cell r="B13">
            <v>8</v>
          </cell>
          <cell r="C13" t="str">
            <v>Anual</v>
          </cell>
          <cell r="D13">
            <v>360</v>
          </cell>
          <cell r="E13">
            <v>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29.609640509261" createdVersion="8" refreshedVersion="8" minRefreshableVersion="3" recordCount="85" xr:uid="{15BD4379-0835-4DCF-B307-DF176A7DAA31}">
  <cacheSource type="worksheet">
    <worksheetSource name="Tabla2"/>
  </cacheSource>
  <cacheFields count="23">
    <cacheField name="ID" numFmtId="0">
      <sharedItems containsBlank="1"/>
    </cacheField>
    <cacheField name="Año Proy" numFmtId="0">
      <sharedItems containsString="0" containsBlank="1" containsNumber="1" containsInteger="1" minValue="2022" maxValue="2024" count="4">
        <n v="2022"/>
        <n v="2023"/>
        <n v="2024"/>
        <m/>
      </sharedItems>
    </cacheField>
    <cacheField name="Fecha" numFmtId="16">
      <sharedItems containsNonDate="0" containsDate="1" containsString="0" containsBlank="1" minDate="2022-04-29T00:00:00" maxDate="2024-01-02T00:00:00"/>
    </cacheField>
    <cacheField name="Proveedor" numFmtId="0">
      <sharedItems containsBlank="1"/>
    </cacheField>
    <cacheField name="Código" numFmtId="0">
      <sharedItems containsBlank="1"/>
    </cacheField>
    <cacheField name="Factura" numFmtId="0">
      <sharedItems containsBlank="1"/>
    </cacheField>
    <cacheField name="Fecha aprobada" numFmtId="17">
      <sharedItems containsNonDate="0" containsDate="1" containsString="0" containsBlank="1" minDate="2023-01-01T00:00:00" maxDate="2023-10-02T00:00:00"/>
    </cacheField>
    <cacheField name="OS" numFmtId="0">
      <sharedItems containsBlank="1"/>
    </cacheField>
    <cacheField name="Proyecto" numFmtId="0">
      <sharedItems containsBlank="1"/>
    </cacheField>
    <cacheField name="# Cuota" numFmtId="0">
      <sharedItems containsString="0" containsBlank="1" containsNumber="1" containsInteger="1" minValue="1" maxValue="6"/>
    </cacheField>
    <cacheField name="Detalle cuota" numFmtId="0">
      <sharedItems containsBlank="1"/>
    </cacheField>
    <cacheField name="Cuota" numFmtId="0">
      <sharedItems containsString="0" containsBlank="1" containsNumber="1" minValue="240" maxValue="11700"/>
    </cacheField>
    <cacheField name="Total cuotas" numFmtId="0">
      <sharedItems containsString="0" containsBlank="1" containsNumber="1" containsInteger="1" minValue="240" maxValue="61200"/>
    </cacheField>
    <cacheField name="Moneda" numFmtId="44">
      <sharedItems containsBlank="1"/>
    </cacheField>
    <cacheField name="Couta S/." numFmtId="44">
      <sharedItems containsString="0" containsBlank="1" containsNumber="1" minValue="0" maxValue="11700"/>
    </cacheField>
    <cacheField name="Cuenta" numFmtId="0">
      <sharedItems containsBlank="1" count="3">
        <s v="Cuenta 34: Activo intangible"/>
        <s v="Gasto"/>
        <m/>
      </sharedItems>
    </cacheField>
    <cacheField name="País" numFmtId="0">
      <sharedItems containsBlank="1"/>
    </cacheField>
    <cacheField name="Área" numFmtId="0">
      <sharedItems containsBlank="1"/>
    </cacheField>
    <cacheField name="Estado" numFmtId="0">
      <sharedItems containsBlank="1"/>
    </cacheField>
    <cacheField name="F Venc" numFmtId="0">
      <sharedItems containsNonDate="0" containsDate="1" containsString="0" containsBlank="1" minDate="2023-09-04T00:00:00" maxDate="2023-09-05T00:00:00"/>
    </cacheField>
    <cacheField name="Mes pago" numFmtId="0">
      <sharedItems containsBlank="1" containsMixedTypes="1" containsNumber="1" containsInteger="1" minValue="1" maxValue="12"/>
    </cacheField>
    <cacheField name="mm.aa" numFmtId="17">
      <sharedItems containsNonDate="0" containsDate="1" containsString="0" containsBlank="1" minDate="1899-12-31T00:00:00" maxDate="2024-01-02T00:00:00" count="20">
        <d v="2022-04-01T00:00:00"/>
        <d v="2022-08-01T00:00:00"/>
        <d v="2022-10-01T00:00:00"/>
        <d v="2022-11-01T00:00:00"/>
        <d v="2022-12-01T00:00:00"/>
        <d v="2023-01-01T00:00:00"/>
        <d v="2023-02-01T00:00:00"/>
        <d v="2023-03-01T00:00:00"/>
        <d v="2023-05-01T00:00:00"/>
        <d v="2023-06-01T00:00:00"/>
        <d v="2023-04-01T00:00:00"/>
        <d v="2023-09-01T00:00:00"/>
        <d v="2023-07-01T00:00:00"/>
        <d v="2023-08-01T00:00:00"/>
        <d v="2023-10-01T00:00:00"/>
        <d v="2023-11-01T00:00:00"/>
        <d v="2023-12-01T00:00:00"/>
        <d v="2024-01-01T00:00:00"/>
        <d v="1899-12-31T00:00:00"/>
        <m/>
      </sharedItems>
    </cacheField>
    <cacheField name="Sistema" numFmtId="0">
      <sharedItems containsBlank="1"/>
    </cacheField>
  </cacheFields>
  <extLst>
    <ext xmlns:x14="http://schemas.microsoft.com/office/spreadsheetml/2009/9/main" uri="{725AE2AE-9491-48be-B2B4-4EB974FC3084}">
      <x14:pivotCacheDefinition pivotCacheId="201155190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29.609641087962" createdVersion="8" refreshedVersion="8" minRefreshableVersion="3" recordCount="69" xr:uid="{6CAB3AD5-F360-4B9E-89F5-39841CB92D3F}">
  <cacheSource type="worksheet">
    <worksheetSource name="Tabla1"/>
  </cacheSource>
  <cacheFields count="32">
    <cacheField name="ID" numFmtId="0">
      <sharedItems containsBlank="1"/>
    </cacheField>
    <cacheField name="Proyecto" numFmtId="0">
      <sharedItems/>
    </cacheField>
    <cacheField name="Alcance" numFmtId="0">
      <sharedItems containsBlank="1" longText="1"/>
    </cacheField>
    <cacheField name="Área" numFmtId="0">
      <sharedItems containsBlank="1"/>
    </cacheField>
    <cacheField name="Sub-Área" numFmtId="0">
      <sharedItems/>
    </cacheField>
    <cacheField name="Involucradas" numFmtId="0">
      <sharedItems containsBlank="1"/>
    </cacheField>
    <cacheField name="Tamaño" numFmtId="0">
      <sharedItems containsBlank="1"/>
    </cacheField>
    <cacheField name="Puntaje" numFmtId="0">
      <sharedItems containsSemiMixedTypes="0" containsString="0" containsNumber="1" containsInteger="1" minValue="0" maxValue="6"/>
    </cacheField>
    <cacheField name="Esfuerzo" numFmtId="0">
      <sharedItems containsString="0" containsBlank="1" containsNumber="1" containsInteger="1" minValue="0" maxValue="6"/>
    </cacheField>
    <cacheField name="Líder" numFmtId="0">
      <sharedItems containsBlank="1"/>
    </cacheField>
    <cacheField name="P.Manager" numFmtId="0">
      <sharedItems containsBlank="1"/>
    </cacheField>
    <cacheField name="Estado proyecto" numFmtId="0">
      <sharedItems/>
    </cacheField>
    <cacheField name="Proveedor principal" numFmtId="0">
      <sharedItems containsBlank="1"/>
    </cacheField>
    <cacheField name="SG5" numFmtId="0">
      <sharedItems containsBlank="1"/>
    </cacheField>
    <cacheField name="CRM" numFmtId="0">
      <sharedItems containsBlank="1"/>
    </cacheField>
    <cacheField name="Exactus" numFmtId="0">
      <sharedItems containsBlank="1"/>
    </cacheField>
    <cacheField name="Web" numFmtId="0">
      <sharedItems containsBlank="1"/>
    </cacheField>
    <cacheField name="Otros" numFmtId="0">
      <sharedItems containsBlank="1"/>
    </cacheField>
    <cacheField name="Presupuesto_x000a_S/." numFmtId="44">
      <sharedItems containsString="0" containsBlank="1" containsNumber="1" containsInteger="1" minValue="0" maxValue="80000"/>
    </cacheField>
    <cacheField name="Aprobado_x000a_S/." numFmtId="44">
      <sharedItems containsSemiMixedTypes="0" containsString="0" containsNumber="1" containsInteger="1" minValue="0" maxValue="46100"/>
    </cacheField>
    <cacheField name="%_x000a_Aprob" numFmtId="10">
      <sharedItems containsSemiMixedTypes="0" containsString="0" containsNumber="1" minValue="0" maxValue="0.18007812500000001"/>
    </cacheField>
    <cacheField name="Ejecutado_x000a_S/." numFmtId="44">
      <sharedItems containsSemiMixedTypes="0" containsString="0" containsNumber="1" containsInteger="1" minValue="0" maxValue="32695"/>
    </cacheField>
    <cacheField name="%_x000a_Ejec" numFmtId="10">
      <sharedItems containsSemiMixedTypes="0" containsString="0" containsNumber="1" minValue="0" maxValue="0.12771484375"/>
    </cacheField>
    <cacheField name="Estado presupuesto" numFmtId="44">
      <sharedItems/>
    </cacheField>
    <cacheField name="Fecha aprobación" numFmtId="17">
      <sharedItems containsNonDate="0" containsDate="1" containsString="0" containsBlank="1" minDate="2023-01-01T00:00:00" maxDate="2023-05-20T00:00:00"/>
    </cacheField>
    <cacheField name="mm.aa_x000a_fch aprob" numFmtId="17">
      <sharedItems containsSemiMixedTypes="0" containsNonDate="0" containsDate="1" containsString="0" minDate="1899-12-31T00:00:00" maxDate="2023-05-02T00:00:00" count="6">
        <d v="1899-12-31T00:00:00"/>
        <d v="2023-03-01T00:00:00"/>
        <d v="2023-05-01T00:00:00"/>
        <d v="2023-02-01T00:00:00"/>
        <d v="2023-04-01T00:00:00"/>
        <d v="2023-01-01T00:00:00"/>
      </sharedItems>
      <fieldGroup par="31"/>
    </cacheField>
    <cacheField name="Año Proy" numFmtId="0">
      <sharedItems containsMixedTypes="1" containsNumber="1" containsInteger="1" minValue="2023" maxValue="2023" count="3">
        <n v="2023"/>
        <s v="2024+"/>
        <s v="2023+"/>
      </sharedItems>
    </cacheField>
    <cacheField name="Línea de negocio" numFmtId="0">
      <sharedItems containsBlank="1"/>
    </cacheField>
    <cacheField name="País" numFmtId="44">
      <sharedItems/>
    </cacheField>
    <cacheField name="Meses (mm.aa_x000a_fch aprob)" numFmtId="0" databaseField="0">
      <fieldGroup base="25">
        <rangePr groupBy="months" startDate="1899-12-31T00:00:00" endDate="2023-05-02T00:00:00"/>
        <groupItems count="14">
          <s v="&lt;1/01/1900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05/2023"/>
        </groupItems>
      </fieldGroup>
    </cacheField>
    <cacheField name="Trimestres (mm.aa_x000a_fch aprob)" numFmtId="0" databaseField="0">
      <fieldGroup base="25">
        <rangePr groupBy="quarters" startDate="1899-12-31T00:00:00" endDate="2023-05-02T00:00:00"/>
        <groupItems count="6">
          <s v="&lt;1/01/1900"/>
          <s v="Trim.1"/>
          <s v="Trim.2"/>
          <s v="Trim.3"/>
          <s v="Trim.4"/>
          <s v="&gt;2/05/2023"/>
        </groupItems>
      </fieldGroup>
    </cacheField>
    <cacheField name="Años (mm.aa_x000a_fch aprob)" numFmtId="0" databaseField="0">
      <fieldGroup base="25">
        <rangePr groupBy="years" startDate="1899-12-31T00:00:00" endDate="2023-05-02T00:00:00"/>
        <groupItems count="126">
          <s v="&lt;1/01/1900"/>
          <s v="1900"/>
          <s v="1901"/>
          <s v="1902"/>
          <s v="1903"/>
          <s v="1904"/>
          <s v="1905"/>
          <s v="1906"/>
          <s v="1907"/>
          <s v="1908"/>
          <s v="1909"/>
          <s v="1910"/>
          <s v="1911"/>
          <s v="1912"/>
          <s v="1913"/>
          <s v="1914"/>
          <s v="1915"/>
          <s v="1916"/>
          <s v="1917"/>
          <s v="1918"/>
          <s v="1919"/>
          <s v="1920"/>
          <s v="1921"/>
          <s v="1922"/>
          <s v="1923"/>
          <s v="1924"/>
          <s v="1925"/>
          <s v="1926"/>
          <s v="1927"/>
          <s v="1928"/>
          <s v="1929"/>
          <s v="1930"/>
          <s v="1931"/>
          <s v="1932"/>
          <s v="1933"/>
          <s v="1934"/>
          <s v="1935"/>
          <s v="1936"/>
          <s v="1937"/>
          <s v="1938"/>
          <s v="1939"/>
          <s v="1940"/>
          <s v="1941"/>
          <s v="1942"/>
          <s v="1943"/>
          <s v="1944"/>
          <s v="1945"/>
          <s v="1946"/>
          <s v="1947"/>
          <s v="1948"/>
          <s v="1949"/>
          <s v="1950"/>
          <s v="1951"/>
          <s v="1952"/>
          <s v="1953"/>
          <s v="1954"/>
          <s v="1955"/>
          <s v="1956"/>
          <s v="1957"/>
          <s v="1958"/>
          <s v="1959"/>
          <s v="1960"/>
          <s v="1961"/>
          <s v="1962"/>
          <s v="1963"/>
          <s v="1964"/>
          <s v="1965"/>
          <s v="1966"/>
          <s v="1967"/>
          <s v="1968"/>
          <s v="1969"/>
          <s v="1970"/>
          <s v="1971"/>
          <s v="1972"/>
          <s v="1973"/>
          <s v="1974"/>
          <s v="1975"/>
          <s v="1976"/>
          <s v="1977"/>
          <s v="1978"/>
          <s v="1979"/>
          <s v="1980"/>
          <s v="1981"/>
          <s v="1982"/>
          <s v="1983"/>
          <s v="1984"/>
          <s v="1985"/>
          <s v="1986"/>
          <s v="1987"/>
          <s v="1988"/>
          <s v="1989"/>
          <s v="1990"/>
          <s v="1991"/>
          <s v="1992"/>
          <s v="1993"/>
          <s v="1994"/>
          <s v="1995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2/05/2023"/>
        </groupItems>
      </fieldGroup>
    </cacheField>
  </cacheFields>
  <extLst>
    <ext xmlns:x14="http://schemas.microsoft.com/office/spreadsheetml/2009/9/main" uri="{725AE2AE-9491-48be-B2B4-4EB974FC3084}">
      <x14:pivotCacheDefinition pivotCacheId="1109344698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29.676202199073" createdVersion="8" refreshedVersion="8" minRefreshableVersion="3" recordCount="124" xr:uid="{21DA977F-0940-47EA-867B-771467773184}">
  <cacheSource type="worksheet">
    <worksheetSource name="Tabla4"/>
  </cacheSource>
  <cacheFields count="8">
    <cacheField name="Llave " numFmtId="0">
      <sharedItems containsString="0" containsBlank="1" containsNumber="1" containsInteger="1" minValue="1" maxValue="1083"/>
    </cacheField>
    <cacheField name="ID" numFmtId="0">
      <sharedItems/>
    </cacheField>
    <cacheField name="AÑO" numFmtId="0">
      <sharedItems containsMixedTypes="1" containsNumber="1" containsInteger="1" minValue="2022" maxValue="2023" count="4">
        <n v="2023"/>
        <s v=""/>
        <n v="2022"/>
        <s v="Gasto"/>
      </sharedItems>
    </cacheField>
    <cacheField name="Presupuesto" numFmtId="44">
      <sharedItems containsBlank="1" containsMixedTypes="1" containsNumber="1" containsInteger="1" minValue="2000" maxValue="29000"/>
    </cacheField>
    <cacheField name="Aprobado" numFmtId="44">
      <sharedItems containsString="0" containsBlank="1" containsNumber="1" minValue="0" maxValue="11700"/>
    </cacheField>
    <cacheField name="Fecha aprobada" numFmtId="17">
      <sharedItems containsDate="1" containsBlank="1" containsMixedTypes="1" minDate="1899-12-30T00:00:00" maxDate="2023-10-31T00:00:00" count="12">
        <m/>
        <d v="1899-12-30T00:00:00"/>
        <s v=""/>
        <d v="2023-01-01T00:00:00"/>
        <d v="2023-02-01T00:00:00"/>
        <d v="2023-03-01T00:00:00"/>
        <d v="2023-04-01T00:00:00"/>
        <d v="2023-05-01T00:00:00"/>
        <d v="2023-08-01T00:00:00"/>
        <d v="2023-09-01T00:00:00"/>
        <d v="2023-10-01T00:00:00"/>
        <d v="2023-10-30T00:00:00" u="1"/>
      </sharedItems>
    </cacheField>
    <cacheField name="Ejecutado" numFmtId="44">
      <sharedItems containsString="0" containsBlank="1" containsNumber="1" minValue="0" maxValue="11700"/>
    </cacheField>
    <cacheField name="Fecha ejecutada" numFmtId="0">
      <sharedItems containsDate="1" containsBlank="1" containsMixedTypes="1" minDate="1899-12-31T00:00:00" maxDate="2024-01-02T00:00:00" count="21">
        <m/>
        <d v="2022-04-01T00:00:00"/>
        <d v="2022-08-01T00:00:00"/>
        <d v="2022-10-01T00:00:00"/>
        <d v="2022-11-01T00:00:00"/>
        <s v=""/>
        <d v="2022-12-01T00:00:00"/>
        <d v="2023-01-01T00:00:00"/>
        <d v="2023-02-01T00:00:00"/>
        <d v="2023-03-01T00:00:00"/>
        <d v="2023-05-01T00:00:00"/>
        <d v="2023-06-01T00:00:00"/>
        <d v="2023-09-01T00:00:00"/>
        <d v="2023-04-01T00:00:00"/>
        <d v="2023-07-01T00:00:00"/>
        <d v="2023-08-01T00:00:00"/>
        <d v="2023-10-01T00:00:00"/>
        <d v="2023-11-01T00:00:00"/>
        <d v="2023-12-01T00:00:00"/>
        <d v="2024-01-01T00:00:00"/>
        <d v="1899-12-31T00:00:00" u="1"/>
      </sharedItems>
    </cacheField>
  </cacheFields>
  <extLst>
    <ext xmlns:x14="http://schemas.microsoft.com/office/spreadsheetml/2009/9/main" uri="{725AE2AE-9491-48be-B2B4-4EB974FC3084}">
      <x14:pivotCacheDefinition pivotCacheId="205106118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s v=""/>
    <x v="0"/>
    <d v="2022-04-29T00:00:00"/>
    <s v="Avanza"/>
    <m/>
    <s v="E001-294"/>
    <m/>
    <m/>
    <s v="CRM Ecuador"/>
    <n v="1"/>
    <s v="Cuota 1/3 - 35%"/>
    <n v="7490"/>
    <n v="14980"/>
    <s v="SOL"/>
    <n v="7490"/>
    <x v="0"/>
    <s v="Ecuador"/>
    <s v="Comercial"/>
    <s v="Cancelado"/>
    <m/>
    <n v="4"/>
    <x v="0"/>
    <m/>
  </r>
  <r>
    <s v=""/>
    <x v="0"/>
    <d v="2022-08-05T00:00:00"/>
    <s v="Avanza"/>
    <m/>
    <s v="E001-326"/>
    <m/>
    <m/>
    <s v="CRM Ecuador"/>
    <n v="2"/>
    <s v="Cuota 2/3 - 50%"/>
    <n v="5243"/>
    <n v="14980"/>
    <s v="SOL"/>
    <n v="5243"/>
    <x v="0"/>
    <s v="Ecuador"/>
    <s v="Comercial"/>
    <s v="Cancelado"/>
    <m/>
    <n v="8"/>
    <x v="1"/>
    <m/>
  </r>
  <r>
    <s v=""/>
    <x v="0"/>
    <d v="2022-10-18T00:00:00"/>
    <s v="Kunaq"/>
    <m/>
    <s v="E001-2337"/>
    <m/>
    <m/>
    <s v="Trama Interbank"/>
    <n v="1"/>
    <s v="Cuota única"/>
    <n v="2320"/>
    <n v="2320"/>
    <s v="SOL"/>
    <n v="2320"/>
    <x v="0"/>
    <s v="Perú"/>
    <s v="R&amp;C"/>
    <s v="Cancelado"/>
    <m/>
    <n v="10"/>
    <x v="2"/>
    <m/>
  </r>
  <r>
    <s v=""/>
    <x v="0"/>
    <d v="2022-10-18T00:00:00"/>
    <s v="Kunaq"/>
    <s v="FU-2022.3-013"/>
    <s v="E001-2339"/>
    <m/>
    <m/>
    <s v="Modificaciones GDH - SG5 planillas"/>
    <n v="1"/>
    <s v="Cuota 1/3 - 30%"/>
    <n v="2412"/>
    <n v="8040"/>
    <s v="SOL"/>
    <n v="2412"/>
    <x v="0"/>
    <s v="Perú"/>
    <s v="GDH"/>
    <s v="Cancelado"/>
    <m/>
    <n v="10"/>
    <x v="2"/>
    <m/>
  </r>
  <r>
    <s v=""/>
    <x v="0"/>
    <d v="2022-11-14T00:00:00"/>
    <s v="BigDavi"/>
    <s v="FU-2022.4-016"/>
    <s v="E001-1119"/>
    <m/>
    <m/>
    <s v="Envio de formatos - BigDavi (Setup // API)"/>
    <n v="1"/>
    <s v="Cuota única"/>
    <n v="4515"/>
    <n v="4145"/>
    <s v="SOL"/>
    <n v="4515"/>
    <x v="0"/>
    <s v="Perú"/>
    <s v="GDH"/>
    <s v="Cancelado"/>
    <m/>
    <n v="11"/>
    <x v="3"/>
    <m/>
  </r>
  <r>
    <s v=""/>
    <x v="0"/>
    <d v="2022-11-14T00:00:00"/>
    <s v="BigDavi"/>
    <s v="FU-2022.4-016"/>
    <s v="E001-1120"/>
    <m/>
    <m/>
    <s v="Envio de formatos - BigDavi (Certificado digital // Token virtual)"/>
    <n v="1"/>
    <s v="Cuota única"/>
    <n v="370"/>
    <n v="370"/>
    <s v="SOL"/>
    <n v="370"/>
    <x v="1"/>
    <s v="Perú"/>
    <s v="GDH"/>
    <s v="Cancelado"/>
    <m/>
    <n v="11"/>
    <x v="3"/>
    <m/>
  </r>
  <r>
    <s v=""/>
    <x v="0"/>
    <d v="2022-11-21T00:00:00"/>
    <s v="Avanza"/>
    <m/>
    <s v="E001-360"/>
    <m/>
    <m/>
    <s v="CRM Ecuador"/>
    <n v="3"/>
    <s v="Cuota 3/3 - 15%"/>
    <n v="2247"/>
    <n v="14980"/>
    <s v="SOL"/>
    <n v="2247"/>
    <x v="0"/>
    <s v="Ecuador"/>
    <s v="Comercial"/>
    <s v="Cancelado"/>
    <m/>
    <n v="11"/>
    <x v="3"/>
    <m/>
  </r>
  <r>
    <s v=""/>
    <x v="0"/>
    <d v="2022-11-22T00:00:00"/>
    <s v="Kunaq"/>
    <m/>
    <s v="E001-2499"/>
    <m/>
    <m/>
    <s v="Mantenimiento SG5 // Feb 22 - Ene 23"/>
    <m/>
    <s v="Cuota 10/12"/>
    <n v="4600"/>
    <n v="55200"/>
    <s v="SOL"/>
    <n v="4600"/>
    <x v="1"/>
    <s v="Perú"/>
    <s v="Operaciones"/>
    <s v="Cancelado"/>
    <m/>
    <n v="11"/>
    <x v="3"/>
    <m/>
  </r>
  <r>
    <s v=""/>
    <x v="0"/>
    <d v="2022-11-22T00:00:00"/>
    <s v="Kunaq"/>
    <m/>
    <s v="E001-2500"/>
    <m/>
    <m/>
    <s v="Trama Interbank"/>
    <m/>
    <s v="Cuota adicional"/>
    <n v="960"/>
    <n v="2320"/>
    <s v="SOL"/>
    <n v="960"/>
    <x v="0"/>
    <s v="Perú"/>
    <s v="R&amp;C"/>
    <s v="Cancelado"/>
    <m/>
    <n v="11"/>
    <x v="3"/>
    <m/>
  </r>
  <r>
    <s v=""/>
    <x v="0"/>
    <d v="2022-11-22T00:00:00"/>
    <s v="Kunaq"/>
    <s v="FU-2022.3-014"/>
    <s v="E001-2501"/>
    <m/>
    <m/>
    <s v="Reporte de recibos de FOMA por fechas por perfil"/>
    <n v="1"/>
    <s v="Cuota única"/>
    <n v="2420"/>
    <n v="2420"/>
    <s v="SOL"/>
    <n v="2420"/>
    <x v="0"/>
    <s v="Perú"/>
    <s v="Operaciones"/>
    <s v="Cancelado"/>
    <m/>
    <n v="11"/>
    <x v="3"/>
    <m/>
  </r>
  <r>
    <s v=""/>
    <x v="0"/>
    <d v="2022-11-22T00:00:00"/>
    <s v="Kunaq"/>
    <s v="FU-2022.3-013"/>
    <s v="E001-2502"/>
    <m/>
    <m/>
    <s v="Modificaciones GDH - SG5 planillas"/>
    <n v="2"/>
    <s v="Cuota 2/3 - 35%"/>
    <n v="2814"/>
    <n v="8040"/>
    <s v="SOL"/>
    <n v="2814"/>
    <x v="0"/>
    <s v="Perú"/>
    <s v="GDH"/>
    <s v="Cancelado"/>
    <m/>
    <n v="11"/>
    <x v="3"/>
    <m/>
  </r>
  <r>
    <s v=""/>
    <x v="0"/>
    <d v="2022-11-22T00:00:00"/>
    <s v="Kunaq"/>
    <s v="FU-2022.4-015"/>
    <s v="E001-2503"/>
    <m/>
    <m/>
    <s v="Modificación log de recaudo"/>
    <n v="1"/>
    <s v="Cuota 1/4 - 30%"/>
    <n v="3210"/>
    <n v="10700"/>
    <s v="SOL"/>
    <n v="3210"/>
    <x v="0"/>
    <s v="Perú"/>
    <s v="R&amp;C"/>
    <s v="Cancelado"/>
    <m/>
    <n v="11"/>
    <x v="3"/>
    <m/>
  </r>
  <r>
    <s v=""/>
    <x v="0"/>
    <d v="2022-12-15T00:00:00"/>
    <s v="Kunaq"/>
    <m/>
    <s v="E001-2557"/>
    <m/>
    <m/>
    <s v="Mantenimiento SG5 // Feb 22 - Ene 23"/>
    <m/>
    <s v="Cuota 11/12"/>
    <n v="4600"/>
    <n v="55200"/>
    <s v="SOL"/>
    <n v="4600"/>
    <x v="1"/>
    <s v="Perú"/>
    <s v="Operaciones"/>
    <s v="Cancelado"/>
    <m/>
    <n v="12"/>
    <x v="4"/>
    <m/>
  </r>
  <r>
    <s v=""/>
    <x v="0"/>
    <d v="2022-12-15T00:00:00"/>
    <s v="Kunaq"/>
    <s v="FU-2022.3-013"/>
    <s v="E001-2558"/>
    <m/>
    <m/>
    <s v="Modificaciones GDH - SG5 planillas"/>
    <n v="3"/>
    <s v="Cuota 3/3 - 35%"/>
    <n v="2814"/>
    <n v="8040"/>
    <s v="SOL"/>
    <n v="2814"/>
    <x v="0"/>
    <s v="Perú"/>
    <s v="GDH"/>
    <s v="Cancelado"/>
    <m/>
    <n v="12"/>
    <x v="4"/>
    <m/>
  </r>
  <r>
    <s v=""/>
    <x v="0"/>
    <d v="2022-12-15T00:00:00"/>
    <s v="Kunaq"/>
    <s v="FU-2022.4-015"/>
    <s v="E001-2559"/>
    <m/>
    <m/>
    <s v="Modificación log de recaudo"/>
    <n v="2"/>
    <s v="Cuota 2/4 - 70% / 3"/>
    <n v="2496.67"/>
    <n v="10700"/>
    <s v="SOL"/>
    <n v="2496.67"/>
    <x v="0"/>
    <s v="Perú"/>
    <s v="R&amp;C"/>
    <s v="Cancelado"/>
    <m/>
    <n v="12"/>
    <x v="4"/>
    <m/>
  </r>
  <r>
    <s v=""/>
    <x v="0"/>
    <d v="2022-12-15T00:00:00"/>
    <s v="Kunaq"/>
    <s v="FU-2022.4-019"/>
    <s v="E001-2560"/>
    <m/>
    <m/>
    <s v="Envío de comprobantes de ventas a la OSE-SRI"/>
    <n v="1"/>
    <s v="Cuota única"/>
    <n v="1780"/>
    <n v="1780"/>
    <s v="SOL"/>
    <n v="1780"/>
    <x v="0"/>
    <s v="Perú"/>
    <s v="Emisión"/>
    <s v="Cancelado"/>
    <m/>
    <n v="12"/>
    <x v="4"/>
    <m/>
  </r>
  <r>
    <s v=""/>
    <x v="0"/>
    <d v="2022-12-15T00:00:00"/>
    <s v="Kunaq"/>
    <s v="FU-2022.4-017"/>
    <s v="E001-2561"/>
    <m/>
    <m/>
    <s v="Envío de documentos a BigDavi"/>
    <n v="1"/>
    <s v="Cuota 1/4 - 30%"/>
    <n v="3000"/>
    <n v="10000"/>
    <s v="SOL"/>
    <n v="3000"/>
    <x v="0"/>
    <s v="Perú"/>
    <s v="GDH"/>
    <s v="Cancelado"/>
    <m/>
    <n v="12"/>
    <x v="4"/>
    <m/>
  </r>
  <r>
    <s v=""/>
    <x v="0"/>
    <d v="2022-12-16T00:00:00"/>
    <s v="Avanza"/>
    <s v="FU-2022.4-021"/>
    <s v="E001-381"/>
    <m/>
    <m/>
    <s v="Validación código de espacio + bloqueo por vacaciones"/>
    <n v="1"/>
    <s v="Cuota única"/>
    <n v="840"/>
    <n v="840"/>
    <s v="SOL"/>
    <n v="840"/>
    <x v="0"/>
    <s v="Perú"/>
    <s v="Comercial"/>
    <s v="Cancelado"/>
    <m/>
    <n v="12"/>
    <x v="4"/>
    <m/>
  </r>
  <r>
    <s v=""/>
    <x v="0"/>
    <d v="2023-01-19T00:00:00"/>
    <s v="Kunaq"/>
    <m/>
    <s v="E001-2621"/>
    <m/>
    <m/>
    <s v="Mantenimiento SG5 // Feb 22 - Ene 23"/>
    <m/>
    <s v="Cuota 12/12"/>
    <n v="4600"/>
    <n v="55200"/>
    <s v="SOL"/>
    <n v="4600"/>
    <x v="1"/>
    <s v="Perú"/>
    <s v="Operaciones"/>
    <s v="Cancelado"/>
    <m/>
    <n v="1"/>
    <x v="5"/>
    <m/>
  </r>
  <r>
    <s v=""/>
    <x v="0"/>
    <d v="2023-01-19T00:00:00"/>
    <s v="Kunaq"/>
    <s v="FU-2022.4-015"/>
    <s v="E001-2622"/>
    <m/>
    <m/>
    <s v="Modificación log de recaudo"/>
    <n v="3"/>
    <s v="Cuota 3/4 - 70% / 3"/>
    <n v="2496.67"/>
    <n v="10700"/>
    <s v="SOL"/>
    <n v="2496.67"/>
    <x v="0"/>
    <s v="Perú"/>
    <s v="R&amp;C"/>
    <s v="Cancelado"/>
    <m/>
    <n v="1"/>
    <x v="5"/>
    <m/>
  </r>
  <r>
    <s v=""/>
    <x v="0"/>
    <d v="2023-01-19T00:00:00"/>
    <s v="Kunaq"/>
    <s v="FU-2022.4-017"/>
    <s v="E001-2623"/>
    <m/>
    <m/>
    <s v="Envío de documentos a BigDavi"/>
    <n v="2"/>
    <s v="Cuota 2/4 - 70% / 3"/>
    <n v="2333.33"/>
    <n v="10000"/>
    <s v="SOL"/>
    <n v="2333.33"/>
    <x v="0"/>
    <s v="Perú"/>
    <s v="GDH"/>
    <s v="Cancelado"/>
    <m/>
    <n v="1"/>
    <x v="5"/>
    <m/>
  </r>
  <r>
    <s v=""/>
    <x v="0"/>
    <d v="2023-01-19T00:00:00"/>
    <s v="Kunaq"/>
    <s v="FU-2022.4-026"/>
    <s v="E001-2625"/>
    <m/>
    <m/>
    <s v="Modificación del asiento contable para beneficios sociales"/>
    <n v="1"/>
    <s v="Cuota única"/>
    <n v="640"/>
    <n v="640"/>
    <s v="SOL"/>
    <n v="640"/>
    <x v="0"/>
    <s v="Perú"/>
    <s v="GDH"/>
    <s v="Cancelado"/>
    <m/>
    <n v="1"/>
    <x v="5"/>
    <m/>
  </r>
  <r>
    <s v=""/>
    <x v="0"/>
    <d v="2023-01-19T00:00:00"/>
    <s v="Kunaq"/>
    <m/>
    <s v="E001-2626"/>
    <m/>
    <m/>
    <s v="Error - Correccion trama mora"/>
    <n v="1"/>
    <s v="Cuota única"/>
    <n v="1920"/>
    <n v="1920"/>
    <s v="SOL"/>
    <n v="1920"/>
    <x v="0"/>
    <s v="Perú"/>
    <s v="R&amp;C"/>
    <s v="Cancelado"/>
    <m/>
    <n v="1"/>
    <x v="5"/>
    <m/>
  </r>
  <r>
    <s v=""/>
    <x v="0"/>
    <d v="2023-01-19T00:00:00"/>
    <s v="Kunaq"/>
    <m/>
    <s v="E001-2627"/>
    <m/>
    <m/>
    <s v="Importación 400 contratos"/>
    <n v="1"/>
    <s v="Cuota única"/>
    <n v="2560"/>
    <n v="2560"/>
    <s v="SOL"/>
    <n v="2560"/>
    <x v="0"/>
    <s v="Perú"/>
    <s v="Emisión"/>
    <s v="Cancelado"/>
    <m/>
    <n v="1"/>
    <x v="5"/>
    <m/>
  </r>
  <r>
    <s v=""/>
    <x v="0"/>
    <d v="2023-01-19T00:00:00"/>
    <s v="Kunaq"/>
    <m/>
    <s v="E001-2628"/>
    <m/>
    <m/>
    <s v="Fecha errada en comprobantes"/>
    <n v="1"/>
    <s v="Cuota única"/>
    <n v="2560"/>
    <n v="2560"/>
    <s v="SOL"/>
    <n v="2560"/>
    <x v="0"/>
    <s v="Perú"/>
    <s v="R&amp;C"/>
    <s v="Cancelado"/>
    <m/>
    <n v="1"/>
    <x v="5"/>
    <m/>
  </r>
  <r>
    <s v=""/>
    <x v="0"/>
    <d v="2023-02-13T00:00:00"/>
    <s v="Kunaq"/>
    <s v="FU-2022.4-015"/>
    <s v="E001-2705"/>
    <m/>
    <m/>
    <s v="Modificación log de recaudo"/>
    <n v="4"/>
    <s v="Cuota 4/4 - 70% / 3"/>
    <n v="2496.67"/>
    <n v="10700"/>
    <s v="SOL"/>
    <n v="2496.67"/>
    <x v="0"/>
    <s v="Perú"/>
    <s v="R&amp;C"/>
    <s v="Cancelado"/>
    <m/>
    <n v="2"/>
    <x v="6"/>
    <m/>
  </r>
  <r>
    <s v=""/>
    <x v="1"/>
    <d v="2023-02-13T00:00:00"/>
    <s v="Kunaq"/>
    <m/>
    <s v="E001-2704"/>
    <m/>
    <m/>
    <s v="Mantenimiento SG5 // Feb 23 - Ene 24"/>
    <n v="1"/>
    <s v="Cuota 1/12 (Feb)"/>
    <n v="5100"/>
    <n v="61200"/>
    <s v="SOL"/>
    <n v="5100"/>
    <x v="1"/>
    <s v="Perú"/>
    <s v="Operaciones"/>
    <s v="Cancelado"/>
    <m/>
    <n v="2"/>
    <x v="6"/>
    <m/>
  </r>
  <r>
    <s v=""/>
    <x v="0"/>
    <d v="2023-02-13T00:00:00"/>
    <s v="Kunaq"/>
    <s v="FU-2022.4-017"/>
    <s v="E001-2706"/>
    <m/>
    <m/>
    <s v="Envío de documentos a BigDavi"/>
    <n v="3"/>
    <s v="Cuota 3/4 - 70% / 3"/>
    <n v="2333.33"/>
    <n v="10000"/>
    <s v="SOL"/>
    <n v="2333.33"/>
    <x v="0"/>
    <s v="Perú"/>
    <s v="GDH"/>
    <s v="Cancelado"/>
    <m/>
    <n v="2"/>
    <x v="6"/>
    <m/>
  </r>
  <r>
    <s v=""/>
    <x v="0"/>
    <d v="2023-02-13T00:00:00"/>
    <s v="Kunaq"/>
    <s v="FU-2022.4-024"/>
    <s v="E001-2707"/>
    <m/>
    <m/>
    <s v="Envío de contratos y activación automática"/>
    <n v="1"/>
    <s v="Cuota 1/4 - 30%"/>
    <n v="3990"/>
    <n v="13300"/>
    <s v="SOL"/>
    <n v="3990"/>
    <x v="0"/>
    <s v="Perú"/>
    <s v="Emisión"/>
    <s v="Cancelado"/>
    <m/>
    <n v="2"/>
    <x v="6"/>
    <m/>
  </r>
  <r>
    <s v=""/>
    <x v="0"/>
    <d v="2023-03-20T00:00:00"/>
    <s v="Avanza"/>
    <m/>
    <s v="E001-536"/>
    <m/>
    <m/>
    <s v="Revisón del proceso de backup"/>
    <n v="1"/>
    <s v="Cuota única"/>
    <n v="240"/>
    <n v="240"/>
    <s v="SOL"/>
    <n v="240"/>
    <x v="0"/>
    <s v="Perú"/>
    <s v="TI"/>
    <s v="Cancelado"/>
    <m/>
    <n v="3"/>
    <x v="7"/>
    <m/>
  </r>
  <r>
    <s v=""/>
    <x v="0"/>
    <d v="2023-05-18T00:00:00"/>
    <s v="Kunaq"/>
    <s v="FU-2022.4-024"/>
    <s v="E001-2952"/>
    <m/>
    <m/>
    <s v="Envío de contratos y activación automática"/>
    <n v="2"/>
    <s v="Cuota 2/4 - 70% / 3"/>
    <n v="3103.3333333333335"/>
    <n v="13300"/>
    <s v="SOL"/>
    <n v="3103.3333333333335"/>
    <x v="0"/>
    <s v="Perú"/>
    <s v="Emisión"/>
    <s v="Cancelado"/>
    <m/>
    <n v="5"/>
    <x v="8"/>
    <m/>
  </r>
  <r>
    <s v=""/>
    <x v="1"/>
    <d v="2023-02-28T00:00:00"/>
    <s v="Avanza"/>
    <m/>
    <s v="E001-500"/>
    <m/>
    <s v="OS0000796"/>
    <s v="Mantenimiento CRM // Mar 23 - Feb 24"/>
    <n v="1"/>
    <s v="Cuota 1/2"/>
    <n v="11000"/>
    <n v="22000"/>
    <s v="SOL"/>
    <n v="11000"/>
    <x v="1"/>
    <s v="Perú"/>
    <s v="Operaciones"/>
    <s v="Cancelado"/>
    <m/>
    <n v="2"/>
    <x v="6"/>
    <m/>
  </r>
  <r>
    <s v=""/>
    <x v="1"/>
    <d v="2023-03-16T00:00:00"/>
    <s v="Kunaq"/>
    <m/>
    <s v="E001-2793"/>
    <m/>
    <m/>
    <s v="Mantenimiento SG5 // Feb 23 - Ene 24"/>
    <m/>
    <s v="Cuota 2/12 (Mar)"/>
    <n v="5100"/>
    <n v="61200"/>
    <s v="SOL"/>
    <n v="5100"/>
    <x v="1"/>
    <s v="Perú"/>
    <s v="Operaciones"/>
    <s v="Cancelado"/>
    <m/>
    <n v="3"/>
    <x v="7"/>
    <m/>
  </r>
  <r>
    <s v=""/>
    <x v="0"/>
    <d v="2023-06-19T00:00:00"/>
    <s v="Kunaq"/>
    <s v="FU-2022.4-024"/>
    <s v="E001-3033"/>
    <m/>
    <m/>
    <s v="Envío de contratos y activación automática"/>
    <n v="3"/>
    <s v="Cuota 3/4 - 70% / 3"/>
    <n v="3103.3333333333335"/>
    <n v="13300"/>
    <s v="SOL"/>
    <n v="3103.3333333333335"/>
    <x v="0"/>
    <s v="Perú"/>
    <s v="Emisión"/>
    <s v="Cancelado"/>
    <m/>
    <n v="6"/>
    <x v="9"/>
    <m/>
  </r>
  <r>
    <s v=""/>
    <x v="1"/>
    <d v="2023-04-19T00:00:00"/>
    <s v="Kunaq"/>
    <m/>
    <s v="E001-2869"/>
    <m/>
    <m/>
    <s v="Mantenimiento SG5 // Feb 23 - Ene 24"/>
    <m/>
    <s v="Cuota 3/12 (Abr)"/>
    <n v="5100"/>
    <n v="61200"/>
    <s v="SOL"/>
    <n v="5100"/>
    <x v="1"/>
    <s v="Perú"/>
    <s v="Operaciones"/>
    <s v="Cancelado"/>
    <m/>
    <n v="4"/>
    <x v="10"/>
    <m/>
  </r>
  <r>
    <s v=""/>
    <x v="0"/>
    <d v="2023-06-19T00:00:00"/>
    <s v="Kunaq"/>
    <s v="FU-2022.4-024"/>
    <s v="E001-3033"/>
    <m/>
    <m/>
    <s v="Envío de contratos y activación automática"/>
    <n v="4"/>
    <s v="Cuota 4/4 - 70% / 3"/>
    <n v="3103.3333333333335"/>
    <n v="13300"/>
    <s v="SOL"/>
    <n v="3103.3333333333335"/>
    <x v="0"/>
    <s v="Perú"/>
    <s v="Emisión"/>
    <s v="Cancelado"/>
    <m/>
    <n v="6"/>
    <x v="9"/>
    <m/>
  </r>
  <r>
    <s v=""/>
    <x v="0"/>
    <d v="2023-09-01T00:00:00"/>
    <s v="Kunaq"/>
    <s v="FU-2022.4-017"/>
    <s v="E001-3271"/>
    <m/>
    <m/>
    <s v="Envío de documentos a BigDavi"/>
    <n v="4"/>
    <s v="Cuota 4/4 - 70% / 3"/>
    <n v="2333.33"/>
    <n v="10000"/>
    <s v="SOL"/>
    <n v="2333.33"/>
    <x v="0"/>
    <s v="Perú"/>
    <s v="GDH"/>
    <s v="Pendiente"/>
    <m/>
    <s v=""/>
    <x v="11"/>
    <m/>
  </r>
  <r>
    <s v="P202320"/>
    <x v="1"/>
    <d v="2023-01-19T00:00:00"/>
    <s v="Kunaq"/>
    <s v="FU-2022.4-025"/>
    <s v="E001-2624"/>
    <d v="2023-01-01T00:00:00"/>
    <m/>
    <s v="Web service para consulta de estado del trabajador"/>
    <n v="1"/>
    <s v="Cuota única"/>
    <n v="1780"/>
    <n v="1780"/>
    <s v="SOL"/>
    <n v="1780"/>
    <x v="0"/>
    <s v="Perú"/>
    <s v="Comercial"/>
    <s v="Cancelado"/>
    <m/>
    <n v="1"/>
    <x v="5"/>
    <m/>
  </r>
  <r>
    <s v=""/>
    <x v="1"/>
    <d v="2023-05-18T00:00:00"/>
    <s v="Kunaq"/>
    <m/>
    <s v="E001-2951"/>
    <m/>
    <m/>
    <s v="Mantenimiento SG5 // Feb 23 - Ene 24"/>
    <m/>
    <s v="Cuota 4/12 (May)"/>
    <n v="5100"/>
    <n v="61200"/>
    <s v="SOL"/>
    <n v="5100"/>
    <x v="1"/>
    <s v="Perú"/>
    <s v="Operaciones"/>
    <s v="Cancelado"/>
    <m/>
    <n v="5"/>
    <x v="8"/>
    <m/>
  </r>
  <r>
    <s v="P202311"/>
    <x v="1"/>
    <d v="2023-02-17T00:00:00"/>
    <s v="Avanza"/>
    <s v="FU-2023.1-003"/>
    <s v="E001-497"/>
    <d v="2023-02-01T00:00:00"/>
    <m/>
    <s v="Log cambios en primera y log consultas"/>
    <n v="1"/>
    <s v="Cuota única"/>
    <n v="1200"/>
    <n v="1200"/>
    <s v="SOL"/>
    <n v="1200"/>
    <x v="0"/>
    <s v="Perú"/>
    <s v="Comercial"/>
    <s v="Cancelado"/>
    <m/>
    <n v="2"/>
    <x v="6"/>
    <m/>
  </r>
  <r>
    <s v="P202302"/>
    <x v="1"/>
    <d v="2023-04-19T00:00:00"/>
    <s v="Kunaq"/>
    <s v="FU-2023.1-006"/>
    <s v="E001-2871"/>
    <d v="2023-03-01T00:00:00"/>
    <s v="OS0000896"/>
    <s v="Proceso vacaciones web"/>
    <n v="1"/>
    <s v="Cuota 1/6 - 30%"/>
    <n v="11700"/>
    <n v="39000"/>
    <s v="SOL"/>
    <n v="11700"/>
    <x v="0"/>
    <s v="Perú"/>
    <s v="GDH"/>
    <s v="Cancelado"/>
    <m/>
    <n v="4"/>
    <x v="10"/>
    <s v="Intranet"/>
  </r>
  <r>
    <s v="P202318"/>
    <x v="1"/>
    <d v="2023-05-15T00:00:00"/>
    <s v="BCTS"/>
    <s v="FU-2023.1-008"/>
    <s v="F001-2043"/>
    <d v="2023-04-01T00:00:00"/>
    <m/>
    <s v="Modificar y crear reportes de pedidos de almacén - Exactus"/>
    <n v="1"/>
    <s v="Cuota única"/>
    <n v="250"/>
    <n v="250"/>
    <s v="DOL"/>
    <n v="925"/>
    <x v="0"/>
    <s v="Perú"/>
    <s v="Adm&amp;Fin"/>
    <s v="Cancelado"/>
    <m/>
    <n v="5"/>
    <x v="8"/>
    <m/>
  </r>
  <r>
    <s v="P202319"/>
    <x v="1"/>
    <d v="2023-05-18T00:00:00"/>
    <s v="Kunaq"/>
    <s v="FU-2023.1-011"/>
    <s v="E001-2953"/>
    <d v="2023-03-01T00:00:00"/>
    <s v="OS0000931"/>
    <s v="Reporte de moras"/>
    <n v="1"/>
    <s v="Cuota única"/>
    <n v="2420"/>
    <n v="2420"/>
    <s v="SOL"/>
    <n v="2420"/>
    <x v="0"/>
    <s v="Perú"/>
    <s v="Operaciones"/>
    <s v="Cancelado"/>
    <m/>
    <n v="5"/>
    <x v="8"/>
    <m/>
  </r>
  <r>
    <s v=""/>
    <x v="1"/>
    <d v="2023-06-19T00:00:00"/>
    <s v="Kunaq"/>
    <m/>
    <s v="E001-3032"/>
    <m/>
    <m/>
    <s v="Mantenimiento SG5 // Feb 23 - Ene 24"/>
    <m/>
    <s v="Cuota 5/12 (Jun)"/>
    <n v="5100"/>
    <n v="61200"/>
    <s v="SOL"/>
    <n v="5100"/>
    <x v="1"/>
    <s v="Perú"/>
    <s v="Operaciones"/>
    <s v="Cancelado"/>
    <m/>
    <n v="6"/>
    <x v="9"/>
    <m/>
  </r>
  <r>
    <s v="P202314"/>
    <x v="1"/>
    <d v="2023-05-18T00:00:00"/>
    <s v="Kunaq"/>
    <s v="FU-2023.1-009"/>
    <s v="E001-2954"/>
    <d v="2023-03-01T00:00:00"/>
    <s v="OS0000936"/>
    <s v="Piloto de nueva forma de pago - SG5"/>
    <n v="1"/>
    <s v="Cuota única"/>
    <n v="3060"/>
    <n v="3060"/>
    <s v="SOL"/>
    <n v="3060"/>
    <x v="0"/>
    <s v="Perú"/>
    <s v="Comercial"/>
    <s v="Cancelado"/>
    <m/>
    <n v="5"/>
    <x v="8"/>
    <m/>
  </r>
  <r>
    <s v="P202303"/>
    <x v="1"/>
    <d v="2023-06-19T00:00:00"/>
    <s v="Kunaq"/>
    <m/>
    <s v="E001-3034"/>
    <d v="2023-05-01T00:00:00"/>
    <s v="OS0001028"/>
    <s v="Implementación módulos asistencia y contratos"/>
    <n v="1"/>
    <s v="Cuota 1/3"/>
    <n v="3400"/>
    <n v="8000"/>
    <s v="SOL"/>
    <n v="3400"/>
    <x v="0"/>
    <s v="Perú"/>
    <s v="GDH"/>
    <s v="Cancelado"/>
    <m/>
    <n v="6"/>
    <x v="9"/>
    <m/>
  </r>
  <r>
    <s v="P202302"/>
    <x v="1"/>
    <d v="2023-06-21T00:00:00"/>
    <s v="Kunaq"/>
    <s v="FU-2023.1-006"/>
    <s v="E001-3036"/>
    <d v="2023-03-01T00:00:00"/>
    <s v="OS0000896"/>
    <s v="Proceso vacaciones web"/>
    <n v="2"/>
    <s v="Cuota 2/6 - 70% / 5"/>
    <n v="5460"/>
    <n v="39000"/>
    <s v="SOL"/>
    <n v="5460"/>
    <x v="0"/>
    <s v="Perú"/>
    <s v="GDH"/>
    <s v="Cancelado"/>
    <m/>
    <n v="6"/>
    <x v="9"/>
    <s v="Intranet"/>
  </r>
  <r>
    <s v=""/>
    <x v="1"/>
    <d v="2023-07-06T00:00:00"/>
    <s v="Kunaq"/>
    <m/>
    <s v="E001-3083"/>
    <m/>
    <m/>
    <s v="Mantenimiento SG5 // Feb 23 - Ene 24"/>
    <m/>
    <s v="Cuota 6/12 (Jul)"/>
    <n v="5100"/>
    <n v="61200"/>
    <s v="SOL"/>
    <n v="5100"/>
    <x v="1"/>
    <s v="Perú"/>
    <s v="Operaciones"/>
    <s v="Cancelado"/>
    <m/>
    <n v="7"/>
    <x v="12"/>
    <m/>
  </r>
  <r>
    <s v="P202302"/>
    <x v="1"/>
    <d v="2023-06-21T00:00:00"/>
    <s v="Kunaq"/>
    <s v="FU-2023.1-002"/>
    <s v="E001-3035"/>
    <d v="2023-03-01T00:00:00"/>
    <s v="OS0001027"/>
    <s v="Proceso vacaciones SG5"/>
    <n v="1"/>
    <s v="Cuota 1/3 - 30%"/>
    <n v="2130"/>
    <n v="7100"/>
    <s v="SOL"/>
    <n v="2130"/>
    <x v="0"/>
    <s v="Perú"/>
    <s v="GDH"/>
    <s v="Cancelado"/>
    <m/>
    <n v="6"/>
    <x v="9"/>
    <s v="Planillas"/>
  </r>
  <r>
    <s v="P202302"/>
    <x v="1"/>
    <d v="2023-07-21T00:00:00"/>
    <s v="Kunaq"/>
    <s v="FU-2023.1-006"/>
    <s v="E001-3121"/>
    <d v="2023-03-01T00:00:00"/>
    <s v="OS0000896"/>
    <s v="Proceso vacaciones web"/>
    <n v="3"/>
    <s v="Cuota 3/6 - 70% / 5"/>
    <n v="5460"/>
    <n v="39000"/>
    <s v="SOL"/>
    <n v="5460"/>
    <x v="0"/>
    <s v="Perú"/>
    <s v="GDH"/>
    <s v="Cancelado"/>
    <m/>
    <n v="7"/>
    <x v="12"/>
    <s v="Intranet"/>
  </r>
  <r>
    <s v="P202302"/>
    <x v="1"/>
    <d v="2023-07-21T00:00:00"/>
    <s v="Kunaq"/>
    <s v="FU-2023.1-002"/>
    <s v="E001-3120"/>
    <d v="2023-03-01T00:00:00"/>
    <s v="OS0001027"/>
    <s v="Proceso vacaciones SG5"/>
    <n v="2"/>
    <s v="Cuota 2/3 - 70% / 2"/>
    <n v="2485"/>
    <n v="7100"/>
    <s v="SOL"/>
    <n v="2485"/>
    <x v="0"/>
    <s v="Perú"/>
    <s v="GDH"/>
    <s v="Cancelado"/>
    <m/>
    <n v="7"/>
    <x v="12"/>
    <s v="Planillas"/>
  </r>
  <r>
    <s v="P202304"/>
    <x v="1"/>
    <d v="2023-07-21T00:00:00"/>
    <s v="Kunaq"/>
    <m/>
    <s v="E001-3119"/>
    <d v="2023-05-01T00:00:00"/>
    <s v="OS0001028"/>
    <s v="Implementación módulos asistencia y contratos"/>
    <n v="2"/>
    <s v="Cuota 2/3"/>
    <n v="1800"/>
    <n v="8000"/>
    <s v="SOL"/>
    <n v="1800"/>
    <x v="0"/>
    <s v="Perú"/>
    <s v="GDH"/>
    <s v="Cancelado"/>
    <m/>
    <n v="7"/>
    <x v="12"/>
    <m/>
  </r>
  <r>
    <s v=""/>
    <x v="1"/>
    <d v="2023-08-17T00:00:00"/>
    <s v="Kunaq"/>
    <m/>
    <s v="E001-3173"/>
    <m/>
    <m/>
    <s v="Mantenimiento SG5 // Feb 23 - Ene 24"/>
    <m/>
    <s v="Cuota 7/12 (Ago)"/>
    <n v="5100"/>
    <n v="61200"/>
    <s v="SOL"/>
    <n v="5100"/>
    <x v="1"/>
    <s v="Perú"/>
    <s v="Operaciones"/>
    <s v="Cancelado"/>
    <m/>
    <n v="8"/>
    <x v="13"/>
    <m/>
  </r>
  <r>
    <s v=""/>
    <x v="1"/>
    <d v="2023-08-28T00:00:00"/>
    <s v="Avanza"/>
    <m/>
    <s v="E001-825"/>
    <m/>
    <s v="OS0000796"/>
    <s v="Mantenimiento CRM // Mar 23 - Feb 24"/>
    <n v="2"/>
    <s v="Cuota 2/2"/>
    <n v="11000"/>
    <n v="22000"/>
    <s v="SOL"/>
    <n v="11000"/>
    <x v="1"/>
    <s v="Perú"/>
    <s v="Operaciones"/>
    <s v="Cancelado"/>
    <d v="2023-09-04T00:00:00"/>
    <n v="8"/>
    <x v="13"/>
    <m/>
  </r>
  <r>
    <s v="P202302"/>
    <x v="1"/>
    <d v="2023-08-17T00:00:00"/>
    <s v="Kunaq"/>
    <s v="FU-2023.1-006"/>
    <s v="E001-3174"/>
    <d v="2023-03-01T00:00:00"/>
    <s v="OS0000896"/>
    <s v="Proceso vacaciones web"/>
    <n v="4"/>
    <s v="Cuota 4/6 - 70% / 5"/>
    <n v="5460"/>
    <n v="39000"/>
    <s v="SOL"/>
    <n v="5460"/>
    <x v="0"/>
    <s v="Perú"/>
    <s v="GDH"/>
    <s v="Cancelado"/>
    <m/>
    <n v="8"/>
    <x v="13"/>
    <s v="Intranet"/>
  </r>
  <r>
    <s v="P202302"/>
    <x v="1"/>
    <d v="2023-09-01T00:00:00"/>
    <s v="Kunaq"/>
    <s v="FU-2023.1-002"/>
    <m/>
    <d v="2023-03-01T00:00:00"/>
    <s v="OS0001027"/>
    <s v="Proceso vacaciones SG5"/>
    <n v="3"/>
    <s v="Cuota 3/3 - 70% / 2"/>
    <n v="2485"/>
    <n v="7100"/>
    <s v="SOL"/>
    <n v="2485"/>
    <x v="0"/>
    <s v="Perú"/>
    <s v="GDH"/>
    <m/>
    <m/>
    <s v=""/>
    <x v="11"/>
    <s v="Planillas"/>
  </r>
  <r>
    <s v="P202303"/>
    <x v="1"/>
    <d v="2023-09-01T00:00:00"/>
    <s v="Kunaq"/>
    <m/>
    <s v="E001-3300"/>
    <d v="2023-05-01T00:00:00"/>
    <s v="OS0001028"/>
    <s v="Implementación módulos asistencia y contratos"/>
    <n v="3"/>
    <s v="Cuota 3/3"/>
    <n v="2800"/>
    <n v="8000"/>
    <s v="SOL"/>
    <n v="2800"/>
    <x v="0"/>
    <s v="Perú"/>
    <s v="GDH"/>
    <s v="Pendiente"/>
    <m/>
    <s v=""/>
    <x v="11"/>
    <m/>
  </r>
  <r>
    <s v=""/>
    <x v="1"/>
    <d v="2023-09-01T00:00:00"/>
    <s v="Kunaq"/>
    <m/>
    <s v="E001-3267"/>
    <m/>
    <s v="OS00001225"/>
    <s v="Mantenimiento SG5 // Feb 23 - Ene 24"/>
    <m/>
    <s v="Cuota 8/12 (Sep)"/>
    <n v="5100"/>
    <n v="61200"/>
    <s v="SOL"/>
    <n v="5100"/>
    <x v="1"/>
    <s v="Perú"/>
    <s v="Operaciones"/>
    <s v="Pendiente"/>
    <m/>
    <s v=""/>
    <x v="11"/>
    <m/>
  </r>
  <r>
    <s v="P202302"/>
    <x v="1"/>
    <d v="2023-09-01T00:00:00"/>
    <s v="Kunaq"/>
    <s v="FU-2023.1-006"/>
    <s v="E001-3268"/>
    <d v="2023-03-01T00:00:00"/>
    <s v="OS0000896"/>
    <s v="Proceso vacaciones web"/>
    <n v="5"/>
    <s v="Cuota 5/6 - 70% / 5"/>
    <n v="5460"/>
    <n v="39000"/>
    <s v="SOL"/>
    <n v="5460"/>
    <x v="0"/>
    <s v="Perú"/>
    <s v="GDH"/>
    <s v="Pendiente"/>
    <m/>
    <s v=""/>
    <x v="11"/>
    <s v="Intranet"/>
  </r>
  <r>
    <s v=""/>
    <x v="1"/>
    <d v="2023-10-01T00:00:00"/>
    <s v="Kunaq"/>
    <m/>
    <s v="E001-3277"/>
    <m/>
    <s v="OS00001225"/>
    <s v="Mantenimiento SG5 // Feb 23 - Ene 24"/>
    <m/>
    <s v="Cuota 9/12 (Oct)"/>
    <n v="5100"/>
    <n v="61200"/>
    <s v="SOL"/>
    <n v="5100"/>
    <x v="1"/>
    <s v="Perú"/>
    <s v="Operaciones"/>
    <s v="Pendiente"/>
    <m/>
    <s v=""/>
    <x v="14"/>
    <m/>
  </r>
  <r>
    <s v="P202302"/>
    <x v="1"/>
    <d v="2023-10-01T00:00:00"/>
    <s v="Kunaq"/>
    <s v="FU-2023.1-006"/>
    <m/>
    <d v="2023-03-01T00:00:00"/>
    <s v="OS0000896"/>
    <s v="Proceso vacaciones web"/>
    <n v="6"/>
    <s v="Cuota 6/6 - 70% / 5"/>
    <n v="5460"/>
    <n v="39000"/>
    <s v="SOL"/>
    <n v="5460"/>
    <x v="0"/>
    <s v="Perú"/>
    <s v="GDH"/>
    <m/>
    <m/>
    <s v=""/>
    <x v="14"/>
    <s v="Intranet"/>
  </r>
  <r>
    <s v=""/>
    <x v="1"/>
    <d v="2023-11-01T00:00:00"/>
    <s v="Kunaq"/>
    <m/>
    <m/>
    <m/>
    <s v="OS00001225"/>
    <s v="Mantenimiento SG5 // Feb 23 - Ene 24"/>
    <m/>
    <s v="Cuota 10/12 (Nov)"/>
    <n v="5100"/>
    <n v="61200"/>
    <s v="SOL"/>
    <n v="5100"/>
    <x v="1"/>
    <s v="Perú"/>
    <s v="Operaciones"/>
    <s v="Pendiente"/>
    <m/>
    <s v=""/>
    <x v="15"/>
    <m/>
  </r>
  <r>
    <s v=""/>
    <x v="1"/>
    <d v="2023-12-01T00:00:00"/>
    <s v="Kunaq"/>
    <m/>
    <m/>
    <m/>
    <s v="OS00001225"/>
    <s v="Mantenimiento SG5 // Feb 23 - Ene 24"/>
    <m/>
    <s v="Cuota 11/12 (Dic)"/>
    <n v="5100"/>
    <n v="61200"/>
    <s v="SOL"/>
    <n v="5100"/>
    <x v="1"/>
    <s v="Perú"/>
    <s v="Operaciones"/>
    <s v="Pendiente"/>
    <m/>
    <s v=""/>
    <x v="16"/>
    <m/>
  </r>
  <r>
    <s v=""/>
    <x v="2"/>
    <d v="2024-01-01T00:00:00"/>
    <s v="Kunaq"/>
    <m/>
    <m/>
    <m/>
    <s v="OS00001225"/>
    <s v="Mantenimiento SG5 // Feb 23 - Ene 24"/>
    <m/>
    <s v="Cuota 12/12 (Ene)"/>
    <n v="5100"/>
    <n v="61200"/>
    <s v="SOL"/>
    <n v="5100"/>
    <x v="1"/>
    <s v="Perú"/>
    <s v="Operaciones"/>
    <s v="Pendiente"/>
    <m/>
    <s v=""/>
    <x v="17"/>
    <m/>
  </r>
  <r>
    <s v="P202304"/>
    <x v="1"/>
    <d v="2023-09-01T00:00:00"/>
    <s v="Kunaq"/>
    <s v="FU-2023.3-020"/>
    <s v="E001-3270"/>
    <d v="2023-08-01T00:00:00"/>
    <s v="OS00001223"/>
    <s v="Modificación del módulo de contratos"/>
    <n v="2"/>
    <s v="Cuota 1/2 - 50%"/>
    <n v="4640"/>
    <n v="9280"/>
    <s v="SOL"/>
    <n v="4640"/>
    <x v="0"/>
    <s v="Perú"/>
    <s v="GDH"/>
    <s v="Pendiente"/>
    <m/>
    <s v=""/>
    <x v="11"/>
    <s v="Planillas"/>
  </r>
  <r>
    <s v="P202304"/>
    <x v="1"/>
    <d v="2023-10-01T00:00:00"/>
    <s v="Kunaq"/>
    <s v="FU-2023.3-020"/>
    <m/>
    <d v="2023-08-01T00:00:00"/>
    <s v="OS00001223"/>
    <s v="Modificación del módulo de contratos"/>
    <n v="2"/>
    <s v="Cuota 2/2 - 50%"/>
    <n v="4640"/>
    <n v="9280"/>
    <s v="SOL"/>
    <n v="4640"/>
    <x v="0"/>
    <s v="Perú"/>
    <s v="GDH"/>
    <m/>
    <m/>
    <s v=""/>
    <x v="14"/>
    <s v="Planillas"/>
  </r>
  <r>
    <s v="P202307"/>
    <x v="1"/>
    <d v="2023-09-01T00:00:00"/>
    <s v="Kunaq"/>
    <s v="FU-2023.3-017 "/>
    <s v="E001-3269"/>
    <d v="2023-08-01T00:00:00"/>
    <s v="OS00001224"/>
    <s v="Portal del cliente"/>
    <n v="3"/>
    <s v="Cuota 1/3 -30%"/>
    <n v="4110"/>
    <n v="13700"/>
    <s v="SOL"/>
    <n v="4110"/>
    <x v="0"/>
    <s v="Perú"/>
    <s v="SAC&amp;Parque"/>
    <s v="Pendiente"/>
    <m/>
    <s v=""/>
    <x v="11"/>
    <s v="Portal web del cliente"/>
  </r>
  <r>
    <s v="P202307"/>
    <x v="1"/>
    <d v="2023-10-01T00:00:00"/>
    <s v="Kunaq"/>
    <s v="FU-2023.3-017 "/>
    <s v="E001-3298"/>
    <d v="2023-08-01T00:00:00"/>
    <s v="OS00001224"/>
    <s v="Portal del cliente"/>
    <n v="3"/>
    <s v="Cuota 2/3 -35%"/>
    <n v="4795"/>
    <n v="13700"/>
    <s v="SOL"/>
    <n v="4795"/>
    <x v="0"/>
    <s v="Perú"/>
    <s v="SAC&amp;Parque"/>
    <s v="Pendiente"/>
    <m/>
    <s v=""/>
    <x v="14"/>
    <s v="Portal web del cliente"/>
  </r>
  <r>
    <s v="P202307"/>
    <x v="1"/>
    <d v="2023-11-01T00:00:00"/>
    <s v="Kunaq"/>
    <s v="FU-2023.3-017 "/>
    <m/>
    <d v="2023-08-01T00:00:00"/>
    <s v="OS00001224"/>
    <s v="Portal del cliente"/>
    <n v="3"/>
    <s v="Cuota 3/3- 35%"/>
    <n v="4795"/>
    <n v="13700"/>
    <s v="SOL"/>
    <n v="4795"/>
    <x v="0"/>
    <s v="Perú"/>
    <s v="SAC&amp;Parque"/>
    <m/>
    <m/>
    <s v=""/>
    <x v="15"/>
    <s v="Portal web del cliente"/>
  </r>
  <r>
    <s v="P202307"/>
    <x v="1"/>
    <d v="2023-09-01T00:00:00"/>
    <s v="IQ"/>
    <s v="FU-2023.3-017 "/>
    <s v="E001-1880"/>
    <d v="2023-08-01T00:00:00"/>
    <s v="OS00001199"/>
    <s v="Portal del cliente"/>
    <n v="1"/>
    <s v="Cuota única"/>
    <n v="700"/>
    <n v="700"/>
    <s v="SOL"/>
    <n v="700"/>
    <x v="0"/>
    <s v="Perú"/>
    <s v="SAC&amp;Parque"/>
    <s v="Cancelado"/>
    <m/>
    <n v="9"/>
    <x v="11"/>
    <s v="Portal web del cliente"/>
  </r>
  <r>
    <s v="P202314"/>
    <x v="1"/>
    <d v="2023-10-01T00:00:00"/>
    <s v="Kunaq"/>
    <s v="FU-2023.3-018"/>
    <s v="E001-3302"/>
    <d v="2023-09-01T00:00:00"/>
    <s v="OS00001257"/>
    <s v="Nueva forma de pago - SG5"/>
    <n v="2"/>
    <s v="Cuota 1/2 - 50% (Oct)"/>
    <n v="4840"/>
    <n v="9680"/>
    <s v="SOL"/>
    <n v="4840"/>
    <x v="0"/>
    <s v="Perú"/>
    <s v="Comercial"/>
    <s v="Pendiente"/>
    <m/>
    <s v=""/>
    <x v="14"/>
    <s v="Practiplan"/>
  </r>
  <r>
    <s v="P202314"/>
    <x v="1"/>
    <d v="2023-11-01T00:00:00"/>
    <s v="Kunaq"/>
    <s v="FU-2023.3-018"/>
    <m/>
    <d v="2023-09-01T00:00:00"/>
    <s v="OS00001257"/>
    <s v="Nueva forma de pago - SG5"/>
    <n v="2"/>
    <s v="Cuota 2/2 - 50% (Nov)"/>
    <n v="4840"/>
    <n v="9680"/>
    <s v="SOL"/>
    <n v="4840"/>
    <x v="0"/>
    <s v="Perú"/>
    <s v="Comercial"/>
    <m/>
    <m/>
    <s v=""/>
    <x v="15"/>
    <s v="Practiplan"/>
  </r>
  <r>
    <s v="P202314"/>
    <x v="1"/>
    <d v="2023-10-01T00:00:00"/>
    <s v="Avanza"/>
    <s v="FU-2023.3-019"/>
    <m/>
    <d v="2023-09-01T00:00:00"/>
    <s v="OS00001258"/>
    <s v="Nueva forma de pago - CRM"/>
    <n v="1"/>
    <s v="Cuota única (fin de proyecto)"/>
    <n v="1170"/>
    <n v="1170"/>
    <s v="SOL"/>
    <n v="1170"/>
    <x v="0"/>
    <s v="Perú"/>
    <s v="Comercial"/>
    <m/>
    <m/>
    <s v=""/>
    <x v="14"/>
    <s v="Practiplan"/>
  </r>
  <r>
    <s v="P202313"/>
    <x v="1"/>
    <d v="2023-10-01T00:00:00"/>
    <s v="Kunaq"/>
    <s v="FU-2023.3-021"/>
    <s v="E001-3299"/>
    <d v="2023-10-01T00:00:00"/>
    <s v="OS00001281"/>
    <s v="Modificación en la distribución de espacios"/>
    <n v="2"/>
    <s v="Cuota 1/2 - 50% "/>
    <n v="5600"/>
    <n v="11200"/>
    <s v="SOL"/>
    <n v="5600"/>
    <x v="0"/>
    <s v="Perú"/>
    <s v="Operaciones"/>
    <s v="Pendiente"/>
    <m/>
    <s v=""/>
    <x v="14"/>
    <m/>
  </r>
  <r>
    <s v="P202313"/>
    <x v="1"/>
    <d v="2023-12-01T00:00:00"/>
    <s v="Kunaq"/>
    <s v="FU-2023.3-021"/>
    <m/>
    <d v="2023-10-01T00:00:00"/>
    <s v="OS00001281"/>
    <s v="Modificación en la distribución de espacios"/>
    <n v="2"/>
    <s v="Cuota 2/2 - 50% "/>
    <n v="5600"/>
    <n v="11200"/>
    <s v="SOL"/>
    <n v="5600"/>
    <x v="0"/>
    <s v="Perú"/>
    <s v="Operaciones"/>
    <m/>
    <m/>
    <s v=""/>
    <x v="16"/>
    <m/>
  </r>
  <r>
    <s v=""/>
    <x v="1"/>
    <m/>
    <s v="BCTS"/>
    <m/>
    <s v="F001-00002194"/>
    <m/>
    <m/>
    <s v="MANTENIMIENTO ERP EXACTUS. PERIODO DEL_x000a_20/10/23 AL 20/10/24"/>
    <m/>
    <m/>
    <n v="7600"/>
    <m/>
    <s v="SOL"/>
    <n v="7600"/>
    <x v="1"/>
    <s v="Perú"/>
    <m/>
    <s v="Pendiente"/>
    <m/>
    <s v=""/>
    <x v="18"/>
    <m/>
  </r>
  <r>
    <s v="P202305"/>
    <x v="1"/>
    <d v="2023-11-01T00:00:00"/>
    <s v="Kunaq"/>
    <s v="FU-2023.4-023"/>
    <m/>
    <d v="2023-10-01T00:00:00"/>
    <m/>
    <s v="Implementación de las NIIF"/>
    <n v="2"/>
    <s v="Cuota 1/2 - 50% "/>
    <n v="7150"/>
    <n v="14300"/>
    <s v="SOL"/>
    <n v="7150"/>
    <x v="0"/>
    <s v="Perú"/>
    <s v="Adm&amp;Fin"/>
    <m/>
    <m/>
    <s v=""/>
    <x v="15"/>
    <m/>
  </r>
  <r>
    <s v="P202305"/>
    <x v="1"/>
    <d v="2024-01-01T00:00:00"/>
    <s v="Kunaq"/>
    <s v="FU-2023.4-023"/>
    <m/>
    <d v="2023-10-01T00:00:00"/>
    <m/>
    <s v="Implementación de las NIIF"/>
    <n v="2"/>
    <s v="Cuota 2/2 - 50% "/>
    <n v="7150"/>
    <n v="14300"/>
    <s v="SOL"/>
    <n v="7150"/>
    <x v="0"/>
    <s v="Perú"/>
    <s v="Adm&amp;Fin"/>
    <m/>
    <m/>
    <s v=""/>
    <x v="17"/>
    <m/>
  </r>
  <r>
    <s v="P202307"/>
    <x v="1"/>
    <d v="2023-11-01T00:00:00"/>
    <s v="Kunaq"/>
    <s v="FU-2023.3-017 "/>
    <m/>
    <d v="2023-10-01T00:00:00"/>
    <m/>
    <s v="Portal del cliente"/>
    <n v="3"/>
    <s v="Cuota 1/3 - 30%. Parte 2"/>
    <n v="3000"/>
    <n v="10000"/>
    <s v="SOL"/>
    <n v="3000"/>
    <x v="0"/>
    <s v="Perú"/>
    <s v="SAC&amp;Parque"/>
    <m/>
    <m/>
    <s v=""/>
    <x v="15"/>
    <s v="Portal web del cliente"/>
  </r>
  <r>
    <s v="P202307"/>
    <x v="1"/>
    <d v="2023-12-01T00:00:00"/>
    <s v="Kunaq"/>
    <s v="FU-2023.3-017 "/>
    <m/>
    <d v="2023-10-01T00:00:00"/>
    <m/>
    <s v="Portal del cliente"/>
    <n v="3"/>
    <s v="Cuota 2/3 - 35%. Parte 2"/>
    <n v="3500"/>
    <n v="10000"/>
    <s v="SOL"/>
    <n v="3500"/>
    <x v="0"/>
    <s v="Perú"/>
    <s v="SAC&amp;Parque"/>
    <m/>
    <m/>
    <s v=""/>
    <x v="16"/>
    <s v="Portal web del cliente"/>
  </r>
  <r>
    <s v="P202307"/>
    <x v="1"/>
    <d v="2024-01-01T00:00:00"/>
    <s v="Kunaq"/>
    <s v="FU-2023.3-017 "/>
    <m/>
    <d v="2023-10-01T00:00:00"/>
    <m/>
    <s v="Portal del cliente"/>
    <n v="3"/>
    <s v="Cuota 3/3 -  35%. Parte 2"/>
    <n v="3500"/>
    <n v="10000"/>
    <s v="SOL"/>
    <n v="3500"/>
    <x v="0"/>
    <s v="Perú"/>
    <s v="SAC&amp;Parque"/>
    <m/>
    <m/>
    <s v=""/>
    <x v="17"/>
    <s v="Portal web del cliente"/>
  </r>
  <r>
    <s v=""/>
    <x v="3"/>
    <m/>
    <m/>
    <m/>
    <m/>
    <m/>
    <m/>
    <m/>
    <m/>
    <m/>
    <m/>
    <m/>
    <m/>
    <n v="0"/>
    <x v="2"/>
    <m/>
    <m/>
    <m/>
    <m/>
    <s v=""/>
    <x v="18"/>
    <m/>
  </r>
  <r>
    <s v=""/>
    <x v="3"/>
    <m/>
    <m/>
    <m/>
    <m/>
    <m/>
    <m/>
    <m/>
    <m/>
    <m/>
    <m/>
    <m/>
    <m/>
    <n v="0"/>
    <x v="2"/>
    <m/>
    <m/>
    <m/>
    <m/>
    <s v=""/>
    <x v="18"/>
    <m/>
  </r>
  <r>
    <m/>
    <x v="3"/>
    <m/>
    <m/>
    <m/>
    <m/>
    <m/>
    <m/>
    <m/>
    <m/>
    <m/>
    <m/>
    <m/>
    <m/>
    <m/>
    <x v="2"/>
    <m/>
    <m/>
    <m/>
    <m/>
    <m/>
    <x v="19"/>
    <m/>
  </r>
  <r>
    <m/>
    <x v="3"/>
    <m/>
    <m/>
    <m/>
    <m/>
    <m/>
    <m/>
    <m/>
    <m/>
    <m/>
    <m/>
    <m/>
    <m/>
    <m/>
    <x v="2"/>
    <m/>
    <m/>
    <m/>
    <m/>
    <m/>
    <x v="19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s v="P202301"/>
    <s v="Mejoras planillas"/>
    <m/>
    <s v="GDH"/>
    <s v="GDH"/>
    <m/>
    <s v="XL"/>
    <n v="6"/>
    <n v="6"/>
    <s v="N Ramos"/>
    <s v="L Rojas"/>
    <s v="En proceso"/>
    <s v="Kunaq"/>
    <s v="x"/>
    <m/>
    <m/>
    <m/>
    <m/>
    <n v="23000"/>
    <n v="0"/>
    <n v="0"/>
    <n v="0"/>
    <n v="0"/>
    <s v="Pendiente"/>
    <m/>
    <x v="0"/>
    <x v="0"/>
    <s v="Camposanto"/>
    <s v="Perú"/>
  </r>
  <r>
    <s v="P202302"/>
    <s v="Automatización vacaciones"/>
    <m/>
    <s v="GDH"/>
    <s v="GDH"/>
    <m/>
    <s v="L"/>
    <n v="4"/>
    <n v="4"/>
    <s v="N Ramos"/>
    <s v="L Rojas"/>
    <s v="En proceso"/>
    <s v="Kunaq"/>
    <s v="x"/>
    <m/>
    <m/>
    <s v="x"/>
    <m/>
    <n v="29000"/>
    <n v="46100"/>
    <n v="0.18007812500000001"/>
    <n v="32695"/>
    <n v="0.12771484375"/>
    <s v="Aprobado"/>
    <d v="2023-03-10T00:00:00"/>
    <x v="1"/>
    <x v="0"/>
    <s v="Camposanto"/>
    <s v="Perú"/>
  </r>
  <r>
    <s v="P202303"/>
    <s v="Asistencias"/>
    <m/>
    <s v="GDH"/>
    <s v="GDH"/>
    <m/>
    <s v="M"/>
    <n v="2"/>
    <n v="2"/>
    <s v="N Ramos"/>
    <s v="L Rojas"/>
    <s v="En proceso"/>
    <s v="Kunaq"/>
    <s v="x"/>
    <m/>
    <m/>
    <m/>
    <m/>
    <n v="6000"/>
    <n v="6200"/>
    <n v="2.4218750000000001E-2"/>
    <n v="3400"/>
    <n v="1.328125E-2"/>
    <s v="Aprobado"/>
    <d v="2023-05-19T00:00:00"/>
    <x v="2"/>
    <x v="0"/>
    <s v="Camposanto"/>
    <s v="Perú"/>
  </r>
  <r>
    <s v="P202304"/>
    <s v="Contratos"/>
    <m/>
    <s v="GDH"/>
    <s v="GDH"/>
    <m/>
    <s v="M"/>
    <n v="2"/>
    <n v="2"/>
    <s v="N Ramos"/>
    <s v="L Rojas"/>
    <s v="En proceso"/>
    <s v="Kunaq"/>
    <s v="x"/>
    <m/>
    <m/>
    <m/>
    <m/>
    <n v="2000"/>
    <n v="11080"/>
    <n v="4.328125E-2"/>
    <n v="1800"/>
    <n v="7.0312500000000002E-3"/>
    <s v="Aprobado"/>
    <d v="2023-05-19T00:00:00"/>
    <x v="2"/>
    <x v="0"/>
    <s v="Camposanto"/>
    <s v="Perú"/>
  </r>
  <r>
    <s v="P202305"/>
    <s v="Cambio a las NIIF"/>
    <m/>
    <s v="Adm&amp;Fin"/>
    <s v="Contabilidad"/>
    <m/>
    <s v="M"/>
    <n v="2"/>
    <n v="1"/>
    <s v="M Torres"/>
    <s v="M Torres"/>
    <s v="En proceso"/>
    <s v="Kunaq"/>
    <s v="x"/>
    <m/>
    <s v="x"/>
    <m/>
    <m/>
    <n v="20000"/>
    <n v="14300"/>
    <n v="5.5859375000000003E-2"/>
    <n v="0"/>
    <n v="0"/>
    <s v="Aprobado"/>
    <m/>
    <x v="0"/>
    <x v="0"/>
    <s v="Camposanto"/>
    <s v="Perú"/>
  </r>
  <r>
    <s v="P202306"/>
    <s v="Servicios a través de la web - R&amp;C"/>
    <s v="Refinanciamientos, pasarela de pagos, cronograma"/>
    <s v="Operaciones"/>
    <s v="R&amp;C"/>
    <m/>
    <s v="M"/>
    <n v="2"/>
    <n v="2"/>
    <s v="J Chavez"/>
    <s v="L Rojas"/>
    <s v="En proceso"/>
    <s v="Kunaq"/>
    <s v="x"/>
    <m/>
    <m/>
    <s v="x"/>
    <m/>
    <n v="22500"/>
    <n v="0"/>
    <n v="0"/>
    <n v="0"/>
    <n v="0"/>
    <s v="Pendiente"/>
    <m/>
    <x v="0"/>
    <x v="0"/>
    <s v="Camposanto"/>
    <s v="Perú"/>
  </r>
  <r>
    <s v="P202307"/>
    <s v="Servicios a través de la web - SAC"/>
    <s v="Certificados de uso, constancia de inhumación, comprobante de pago"/>
    <s v="SAC&amp;Parque"/>
    <s v="SAC"/>
    <m/>
    <s v="L"/>
    <n v="4"/>
    <n v="4"/>
    <s v="Deisy"/>
    <s v="L Rojas"/>
    <s v="En proceso"/>
    <s v="Kunaq"/>
    <s v="x"/>
    <m/>
    <m/>
    <s v="x"/>
    <m/>
    <n v="22500"/>
    <n v="24400"/>
    <n v="9.5312499999999994E-2"/>
    <n v="700"/>
    <n v="2.7343749999999998E-3"/>
    <s v="Aprobado"/>
    <m/>
    <x v="0"/>
    <x v="0"/>
    <s v="Camposanto"/>
    <s v="Perú"/>
  </r>
  <r>
    <s v="P202308"/>
    <s v="Mejorar proceso de diferencia de TC"/>
    <m/>
    <s v="Adm&amp;Fin"/>
    <s v="Contabilidad"/>
    <m/>
    <s v="S"/>
    <n v="1"/>
    <n v="0"/>
    <s v="M Torres"/>
    <s v="L Rojas"/>
    <s v="Finalizado"/>
    <s v="Kunaq"/>
    <m/>
    <m/>
    <s v="x"/>
    <m/>
    <m/>
    <n v="4000"/>
    <n v="0"/>
    <n v="0"/>
    <n v="0"/>
    <n v="0"/>
    <s v="Pendiente"/>
    <m/>
    <x v="0"/>
    <x v="0"/>
    <s v="Camposanto"/>
    <s v="Perú"/>
  </r>
  <r>
    <s v="P202309"/>
    <s v="Nuevos canales de pago"/>
    <s v="Apertura de nuevos canales tradicionales y digitales"/>
    <s v="Operaciones"/>
    <s v="R&amp;C"/>
    <m/>
    <s v="M"/>
    <n v="2"/>
    <n v="1"/>
    <s v="J Chavez"/>
    <s v="J Chavez"/>
    <s v="En proceso"/>
    <s v="Kunaq"/>
    <s v="x"/>
    <m/>
    <m/>
    <s v="x"/>
    <m/>
    <n v="20000"/>
    <n v="0"/>
    <n v="0"/>
    <n v="0"/>
    <n v="0"/>
    <s v="Pendiente"/>
    <m/>
    <x v="0"/>
    <x v="0"/>
    <s v="Camposanto"/>
    <s v="Perú"/>
  </r>
  <r>
    <s v="P202310"/>
    <s v="Tratamiento de datos"/>
    <s v="Cliente acepte política de tratamiento de datos personales desde el inicio (regulatorio)"/>
    <s v="Comercial"/>
    <s v="Comercial"/>
    <s v="Emisión"/>
    <s v="M"/>
    <n v="2"/>
    <n v="2"/>
    <s v="Andre"/>
    <s v="L Rojas"/>
    <s v="En proceso"/>
    <s v="Kunaq"/>
    <s v="x"/>
    <m/>
    <m/>
    <m/>
    <m/>
    <n v="13000"/>
    <n v="0"/>
    <n v="0"/>
    <n v="0"/>
    <n v="0"/>
    <s v="Pendiente"/>
    <m/>
    <x v="0"/>
    <x v="0"/>
    <s v="Camposanto"/>
    <s v="Perú"/>
  </r>
  <r>
    <s v="P202311"/>
    <s v="Log cambios en primera y log consultas"/>
    <m/>
    <s v="Comercial"/>
    <s v="Comercial"/>
    <m/>
    <s v="S"/>
    <n v="1"/>
    <n v="1"/>
    <s v="Andre"/>
    <s v="L Rojas"/>
    <s v="Finalizado"/>
    <s v="Avanza"/>
    <m/>
    <s v="x"/>
    <m/>
    <m/>
    <m/>
    <n v="2000"/>
    <n v="1200"/>
    <n v="4.6874999999999998E-3"/>
    <n v="1200"/>
    <n v="4.6874999999999998E-3"/>
    <s v="Aprobado"/>
    <d v="2023-02-03T00:00:00"/>
    <x v="3"/>
    <x v="0"/>
    <s v="Camposanto"/>
    <s v="Perú"/>
  </r>
  <r>
    <s v="P202312"/>
    <s v="Pagaré digital - NI+NF"/>
    <m/>
    <s v="Operaciones"/>
    <s v="Emisión"/>
    <m/>
    <s v="M"/>
    <n v="2"/>
    <n v="2"/>
    <s v="T Llacza"/>
    <s v="L Rojas"/>
    <s v="En proceso"/>
    <s v="Kunaq"/>
    <s v="x"/>
    <m/>
    <m/>
    <m/>
    <s v="x"/>
    <n v="10000"/>
    <n v="0"/>
    <n v="0"/>
    <n v="0"/>
    <n v="0"/>
    <s v="Pendiente"/>
    <m/>
    <x v="0"/>
    <x v="0"/>
    <s v="Camposanto"/>
    <s v="Perú"/>
  </r>
  <r>
    <s v="P202313"/>
    <s v="Modificación en la distribución de espacios"/>
    <m/>
    <s v="Operaciones"/>
    <s v="Emisión"/>
    <m/>
    <s v="M"/>
    <n v="2"/>
    <n v="2"/>
    <s v="T Llacza"/>
    <s v="T Llacza"/>
    <s v="En proceso"/>
    <s v="Kunaq"/>
    <s v="x"/>
    <m/>
    <m/>
    <m/>
    <m/>
    <n v="12000"/>
    <n v="11200"/>
    <n v="4.3749999999999997E-2"/>
    <n v="0"/>
    <n v="0"/>
    <s v="Aprobado"/>
    <m/>
    <x v="0"/>
    <x v="0"/>
    <s v="Camposanto"/>
    <s v="Perú"/>
  </r>
  <r>
    <s v="P202314"/>
    <s v="Practiplan 2 - Nueva forma de pago"/>
    <m/>
    <s v="Comercial"/>
    <s v="Comercial"/>
    <m/>
    <s v="M"/>
    <n v="2"/>
    <n v="2"/>
    <s v="Andre"/>
    <s v="L Rojas"/>
    <s v="En proceso"/>
    <s v="Kunaq"/>
    <s v="x"/>
    <s v="x"/>
    <m/>
    <m/>
    <m/>
    <n v="8000"/>
    <n v="13910"/>
    <n v="5.4335937500000001E-2"/>
    <n v="3060"/>
    <n v="1.1953125E-2"/>
    <s v="Aprobado"/>
    <d v="2023-03-27T00:00:00"/>
    <x v="1"/>
    <x v="0"/>
    <s v="Camposanto"/>
    <s v="Perú"/>
  </r>
  <r>
    <s v="P202315"/>
    <s v="Nueva sede Arequipa"/>
    <m/>
    <s v="Operaciones"/>
    <s v="Proyectos"/>
    <m/>
    <s v="S"/>
    <n v="1"/>
    <n v="1"/>
    <s v="L Rojas"/>
    <s v="L Rojas"/>
    <s v="En proceso"/>
    <s v="Kunaq"/>
    <s v="x"/>
    <s v="x"/>
    <s v="x"/>
    <s v="x"/>
    <m/>
    <n v="5000"/>
    <n v="0"/>
    <n v="0"/>
    <n v="0"/>
    <n v="0"/>
    <s v="Pendiente"/>
    <m/>
    <x v="0"/>
    <x v="0"/>
    <s v="Camposanto"/>
    <s v="Perú"/>
  </r>
  <r>
    <s v="P202316"/>
    <s v="Validación CUOI"/>
    <m/>
    <s v="Operaciones"/>
    <s v="Emisión"/>
    <s v="Tesorería/SAC"/>
    <s v="L"/>
    <n v="4"/>
    <n v="0"/>
    <s v="T Llacza"/>
    <s v="T Llacza"/>
    <s v="En proceso"/>
    <s v="Kunaq"/>
    <s v="x"/>
    <m/>
    <m/>
    <m/>
    <m/>
    <n v="12000"/>
    <n v="0"/>
    <n v="0"/>
    <n v="0"/>
    <n v="0"/>
    <s v="Pendiente"/>
    <m/>
    <x v="0"/>
    <x v="0"/>
    <s v="Camposanto"/>
    <s v="Perú"/>
  </r>
  <r>
    <s v="P202317"/>
    <s v="Ubicaina"/>
    <m/>
    <s v="Comercial"/>
    <s v="Comercial"/>
    <m/>
    <s v="L"/>
    <n v="4"/>
    <n v="4"/>
    <s v="Andre"/>
    <s v="L Rojas"/>
    <s v="En proceso"/>
    <s v="Kunaq"/>
    <s v="x"/>
    <m/>
    <m/>
    <m/>
    <m/>
    <n v="28000"/>
    <n v="0"/>
    <n v="0"/>
    <n v="0"/>
    <n v="0"/>
    <s v="Pendiente"/>
    <m/>
    <x v="0"/>
    <x v="0"/>
    <s v="Camposanto"/>
    <s v="Perú"/>
  </r>
  <r>
    <s v="P202318"/>
    <s v="Reporte detalle pedidos de almacén"/>
    <m/>
    <s v="Adm&amp;Fin"/>
    <s v="Logistica"/>
    <m/>
    <s v="S"/>
    <n v="1"/>
    <n v="1"/>
    <s v="Yadira"/>
    <s v="L Rojas"/>
    <s v="Finalizado"/>
    <s v="BCTS"/>
    <m/>
    <m/>
    <s v="x"/>
    <m/>
    <m/>
    <n v="5000"/>
    <n v="925"/>
    <n v="3.6132812500000002E-3"/>
    <n v="925"/>
    <n v="3.6132812500000002E-3"/>
    <s v="Aprobado"/>
    <d v="2023-04-24T00:00:00"/>
    <x v="4"/>
    <x v="0"/>
    <s v="Camposanto"/>
    <s v="Perú"/>
  </r>
  <r>
    <s v="P202319"/>
    <s v="Reporte de moras"/>
    <m/>
    <s v="Operaciones"/>
    <s v="R&amp;C"/>
    <m/>
    <s v="S"/>
    <n v="1"/>
    <n v="1"/>
    <s v="J Chavez"/>
    <s v="L Rojas"/>
    <s v="Finalizado"/>
    <s v="Kunaq"/>
    <s v="x"/>
    <m/>
    <m/>
    <m/>
    <m/>
    <n v="5000"/>
    <n v="2420"/>
    <n v="9.4531249999999997E-3"/>
    <n v="2420"/>
    <n v="9.4531249999999997E-3"/>
    <s v="Aprobado"/>
    <d v="2023-03-16T00:00:00"/>
    <x v="1"/>
    <x v="0"/>
    <s v="Camposanto"/>
    <s v="Perú"/>
  </r>
  <r>
    <s v="P202320"/>
    <s v="Bloqueo del CRM por vacaciones"/>
    <m/>
    <s v="Comercial"/>
    <s v="Comercial"/>
    <s v="GDH"/>
    <s v="S"/>
    <n v="1"/>
    <n v="1"/>
    <s v="Andre"/>
    <s v="L Rojas"/>
    <s v="Finalizado"/>
    <s v="Kunaq"/>
    <m/>
    <s v="x"/>
    <m/>
    <m/>
    <m/>
    <n v="7000"/>
    <n v="1780"/>
    <n v="6.9531250000000001E-3"/>
    <n v="1780"/>
    <n v="6.9531250000000001E-3"/>
    <s v="Aprobado"/>
    <d v="2023-01-01T00:00:00"/>
    <x v="5"/>
    <x v="0"/>
    <s v="Camposanto"/>
    <s v="Perú"/>
  </r>
  <r>
    <m/>
    <s v="Automatización validación CUOI + separación"/>
    <m/>
    <s v="Operaciones"/>
    <s v="Emisión"/>
    <s v="Tesorería/SAC"/>
    <s v="L"/>
    <n v="4"/>
    <n v="4"/>
    <s v="T Llacza"/>
    <s v="L Rojas"/>
    <s v="Sin iniciar"/>
    <s v="Kunaq"/>
    <s v="x"/>
    <s v="x"/>
    <m/>
    <m/>
    <m/>
    <n v="15000"/>
    <n v="0"/>
    <n v="0"/>
    <n v="0"/>
    <n v="0"/>
    <s v="Pendiente"/>
    <m/>
    <x v="0"/>
    <x v="1"/>
    <s v="Camposanto"/>
    <s v="Perú"/>
  </r>
  <r>
    <m/>
    <s v="Proforma digital"/>
    <s v="Consejero envíe a través de medios digitales una proforma digital"/>
    <s v="Comercial"/>
    <s v="Comercial"/>
    <m/>
    <s v="M"/>
    <n v="2"/>
    <n v="2"/>
    <s v="Andre"/>
    <s v="L Rojas"/>
    <s v="Sin iniciar"/>
    <s v="Kunaq"/>
    <s v="x"/>
    <s v="x"/>
    <m/>
    <m/>
    <m/>
    <n v="10000"/>
    <n v="0"/>
    <n v="0"/>
    <n v="0"/>
    <n v="0"/>
    <s v="Pendiente"/>
    <m/>
    <x v="0"/>
    <x v="1"/>
    <s v="Camposanto"/>
    <s v="Perú"/>
  </r>
  <r>
    <m/>
    <s v="Puesta en marcha Sistemas Ecuador"/>
    <m/>
    <s v="Operaciones"/>
    <s v="Proyectos"/>
    <m/>
    <s v="M"/>
    <n v="2"/>
    <n v="2"/>
    <s v="L Rojas"/>
    <s v="L Rojas"/>
    <s v="Sin iniciar"/>
    <s v="Kunaq"/>
    <s v="x"/>
    <s v="x"/>
    <s v="x"/>
    <s v="x"/>
    <m/>
    <n v="5000"/>
    <n v="0"/>
    <n v="0"/>
    <n v="0"/>
    <n v="0"/>
    <s v="Pendiente"/>
    <m/>
    <x v="0"/>
    <x v="1"/>
    <s v="Camposanto"/>
    <s v="Ecuador"/>
  </r>
  <r>
    <m/>
    <s v="Validar circulares/prom en CRM"/>
    <m/>
    <s v="Comercial"/>
    <s v="Comercial"/>
    <m/>
    <s v="M"/>
    <n v="2"/>
    <n v="2"/>
    <s v="Andre"/>
    <s v="L Rojas"/>
    <s v="Sin iniciar"/>
    <s v="Kunaq"/>
    <s v="x"/>
    <s v="x"/>
    <m/>
    <m/>
    <m/>
    <n v="13000"/>
    <n v="0"/>
    <n v="0"/>
    <n v="0"/>
    <n v="0"/>
    <s v="Pendiente"/>
    <m/>
    <x v="0"/>
    <x v="1"/>
    <s v="Camposanto"/>
    <s v="Perú"/>
  </r>
  <r>
    <m/>
    <s v="Credimuya"/>
    <m/>
    <s v="Comercial"/>
    <s v="Comercial"/>
    <s v="Emisión/R&amp;C"/>
    <s v="S"/>
    <n v="1"/>
    <n v="1"/>
    <s v="Andre"/>
    <s v="L Rojas"/>
    <s v="Sin iniciar"/>
    <s v="Kunaq"/>
    <s v="x"/>
    <m/>
    <m/>
    <m/>
    <m/>
    <n v="10000"/>
    <n v="0"/>
    <n v="0"/>
    <n v="0"/>
    <n v="0"/>
    <s v="Pendiente"/>
    <m/>
    <x v="0"/>
    <x v="1"/>
    <s v="Camposanto"/>
    <s v="Perú"/>
  </r>
  <r>
    <m/>
    <s v="Búsqueda de fallecido para cliente"/>
    <m/>
    <s v="Operaciones"/>
    <s v="Proyectos"/>
    <m/>
    <s v="M"/>
    <n v="2"/>
    <n v="2"/>
    <s v="L Rojas"/>
    <s v="L Rojas"/>
    <s v="Sin iniciar"/>
    <s v="?"/>
    <s v="x"/>
    <m/>
    <m/>
    <m/>
    <s v="x"/>
    <n v="0"/>
    <n v="0"/>
    <n v="0"/>
    <n v="0"/>
    <n v="0"/>
    <s v="Pendiente"/>
    <m/>
    <x v="0"/>
    <x v="1"/>
    <s v="Camposanto"/>
    <s v="Perú"/>
  </r>
  <r>
    <m/>
    <s v="Validación: servicio/código espacio"/>
    <m/>
    <s v="Comercial"/>
    <s v="Comercial"/>
    <s v="Emisión"/>
    <s v="M"/>
    <n v="2"/>
    <n v="2"/>
    <s v="Andre"/>
    <s v="L Rojas"/>
    <s v="Sin iniciar"/>
    <s v="Kunaq"/>
    <s v="x"/>
    <s v="x"/>
    <m/>
    <m/>
    <m/>
    <n v="0"/>
    <n v="0"/>
    <n v="0"/>
    <n v="0"/>
    <n v="0"/>
    <s v="Pendiente"/>
    <m/>
    <x v="0"/>
    <x v="1"/>
    <s v="Camposanto"/>
    <s v="Perú"/>
  </r>
  <r>
    <m/>
    <s v="Reporte de alianzas + cálculo de marca"/>
    <m/>
    <s v="Operaciones"/>
    <s v="Emisión"/>
    <m/>
    <s v="M"/>
    <n v="2"/>
    <n v="2"/>
    <s v="T Llacza"/>
    <s v="T Llacza"/>
    <s v="Sin iniciar"/>
    <m/>
    <s v="x"/>
    <m/>
    <m/>
    <m/>
    <m/>
    <n v="12000"/>
    <n v="0"/>
    <n v="0"/>
    <n v="0"/>
    <n v="0"/>
    <s v="Pendiente"/>
    <m/>
    <x v="0"/>
    <x v="1"/>
    <m/>
    <s v="Perú"/>
  </r>
  <r>
    <m/>
    <s v="Consolidación de abonos para contabilidad"/>
    <s v="Consolidación de información de abonos"/>
    <m/>
    <s v="R&amp;C"/>
    <m/>
    <s v="S"/>
    <n v="1"/>
    <n v="1"/>
    <s v="JCCh"/>
    <s v="L Rojas"/>
    <s v="Sin iniciar"/>
    <m/>
    <s v="x"/>
    <m/>
    <m/>
    <m/>
    <m/>
    <n v="5000"/>
    <n v="0"/>
    <n v="0"/>
    <n v="0"/>
    <n v="0"/>
    <s v="Pendiente"/>
    <m/>
    <x v="0"/>
    <x v="1"/>
    <m/>
    <s v="Perú"/>
  </r>
  <r>
    <m/>
    <s v="Interconexión bancaria"/>
    <s v="Descarga y subida de tramas de respuesta de los bancos + Generación de tramas para bancos"/>
    <m/>
    <s v="R&amp;C"/>
    <m/>
    <s v="L"/>
    <n v="4"/>
    <n v="1"/>
    <s v="JCCh"/>
    <s v="L Rojas"/>
    <s v="Sin iniciar"/>
    <m/>
    <s v="x"/>
    <m/>
    <m/>
    <m/>
    <s v="x"/>
    <n v="80000"/>
    <n v="0"/>
    <n v="0"/>
    <n v="0"/>
    <n v="0"/>
    <s v="Pendiente"/>
    <m/>
    <x v="0"/>
    <x v="1"/>
    <m/>
    <s v="Perú"/>
  </r>
  <r>
    <m/>
    <s v="Conciliación automática en Excel - 20% restante"/>
    <m/>
    <m/>
    <s v="Contabilidad"/>
    <m/>
    <s v="M"/>
    <n v="2"/>
    <n v="0"/>
    <s v="José"/>
    <m/>
    <s v="Sin iniciar"/>
    <m/>
    <s v="x"/>
    <m/>
    <s v="x"/>
    <m/>
    <s v="x"/>
    <n v="5000"/>
    <n v="0"/>
    <n v="0"/>
    <n v="0"/>
    <n v="0"/>
    <s v="Pendiente"/>
    <m/>
    <x v="0"/>
    <x v="2"/>
    <m/>
    <s v="Perú"/>
  </r>
  <r>
    <m/>
    <s v="Actualización estructura tablas CRM + módulo supervisor"/>
    <m/>
    <m/>
    <s v="Comercial"/>
    <m/>
    <s v="L"/>
    <n v="4"/>
    <n v="4"/>
    <s v="Andre"/>
    <s v="L Rojas"/>
    <s v="Sin iniciar"/>
    <m/>
    <s v="x"/>
    <s v="x"/>
    <m/>
    <s v="x"/>
    <m/>
    <n v="16000"/>
    <n v="0"/>
    <n v="0"/>
    <n v="0"/>
    <n v="0"/>
    <s v="Pendiente"/>
    <m/>
    <x v="0"/>
    <x v="2"/>
    <m/>
    <s v="Perú"/>
  </r>
  <r>
    <m/>
    <s v="Diagnótico de compra de licencias de Exactus"/>
    <m/>
    <m/>
    <s v="Proyectos"/>
    <m/>
    <s v="S"/>
    <n v="1"/>
    <n v="0"/>
    <m/>
    <m/>
    <s v="Sin iniciar"/>
    <m/>
    <m/>
    <m/>
    <s v="x"/>
    <m/>
    <m/>
    <n v="0"/>
    <n v="0"/>
    <n v="0"/>
    <n v="0"/>
    <n v="0"/>
    <s v="Pendiente"/>
    <m/>
    <x v="0"/>
    <x v="1"/>
    <m/>
    <s v="Perú"/>
  </r>
  <r>
    <m/>
    <s v="Call center 24x7 - Omnicanal + CRM"/>
    <m/>
    <m/>
    <s v="SAC"/>
    <m/>
    <s v="L"/>
    <n v="4"/>
    <n v="4"/>
    <s v="Deisy"/>
    <s v="L Rojas"/>
    <s v="Sin iniciar"/>
    <m/>
    <m/>
    <m/>
    <m/>
    <m/>
    <s v="x"/>
    <n v="20000"/>
    <n v="0"/>
    <n v="0"/>
    <n v="0"/>
    <n v="0"/>
    <s v="Pendiente"/>
    <m/>
    <x v="0"/>
    <x v="1"/>
    <m/>
    <s v="Perú"/>
  </r>
  <r>
    <m/>
    <s v="Reformulación del módulo de resoluciones"/>
    <s v="Cálculo de resoluciones (Sistema entrega casos a resolver y los resuelve automáticamente) + reporte + estandarización de motivos"/>
    <m/>
    <s v="R&amp;C"/>
    <s v="Emisión/SAC"/>
    <s v="L"/>
    <n v="4"/>
    <n v="4"/>
    <s v="JCCh"/>
    <s v="L Rojas"/>
    <s v="Sin iniciar"/>
    <m/>
    <s v="x"/>
    <m/>
    <m/>
    <m/>
    <m/>
    <n v="16000"/>
    <n v="0"/>
    <n v="0"/>
    <n v="0"/>
    <n v="0"/>
    <s v="Pendiente"/>
    <m/>
    <x v="0"/>
    <x v="2"/>
    <m/>
    <s v="Perú"/>
  </r>
  <r>
    <m/>
    <s v="Mejora proceso de cobro cuota inicial partida"/>
    <m/>
    <m/>
    <s v="Comercial"/>
    <s v="R&amp;C"/>
    <s v="M"/>
    <n v="2"/>
    <n v="2"/>
    <s v="Andre"/>
    <s v="L Rojas"/>
    <s v="Sin iniciar"/>
    <m/>
    <s v="x"/>
    <m/>
    <m/>
    <m/>
    <m/>
    <n v="5000"/>
    <n v="0"/>
    <n v="0"/>
    <n v="0"/>
    <n v="0"/>
    <s v="Pendiente"/>
    <m/>
    <x v="0"/>
    <x v="2"/>
    <m/>
    <s v="Perú"/>
  </r>
  <r>
    <m/>
    <s v="EEFF por Exactus - 2° etapa"/>
    <m/>
    <m/>
    <s v="Planeam."/>
    <m/>
    <s v="M"/>
    <n v="2"/>
    <n v="2"/>
    <s v="Guillermo"/>
    <s v="L Rojas"/>
    <s v="Sin iniciar"/>
    <m/>
    <s v="x"/>
    <m/>
    <s v="x"/>
    <m/>
    <m/>
    <n v="18000"/>
    <n v="0"/>
    <n v="0"/>
    <n v="0"/>
    <n v="0"/>
    <s v="Pendiente"/>
    <m/>
    <x v="0"/>
    <x v="2"/>
    <m/>
    <s v="Perú"/>
  </r>
  <r>
    <m/>
    <s v="Agregar nuevos servicios financiados a un cronograma vigente"/>
    <m/>
    <m/>
    <s v="Comercial"/>
    <s v="R&amp;C"/>
    <s v="M"/>
    <n v="2"/>
    <n v="2"/>
    <s v="Andre"/>
    <s v="L Rojas"/>
    <s v="Sin iniciar"/>
    <m/>
    <s v="x"/>
    <s v="x"/>
    <m/>
    <m/>
    <m/>
    <m/>
    <n v="0"/>
    <n v="0"/>
    <n v="0"/>
    <n v="0"/>
    <s v="Pendiente"/>
    <m/>
    <x v="0"/>
    <x v="2"/>
    <m/>
    <s v="Perú"/>
  </r>
  <r>
    <m/>
    <s v="Reporte previo a envío SRI: ventas y compras"/>
    <m/>
    <m/>
    <s v="Contabilidad"/>
    <m/>
    <s v="M"/>
    <n v="2"/>
    <n v="2"/>
    <s v="José"/>
    <s v="L Rojas"/>
    <s v="Sin iniciar"/>
    <m/>
    <s v="x"/>
    <m/>
    <m/>
    <m/>
    <m/>
    <n v="5000"/>
    <n v="0"/>
    <n v="0"/>
    <n v="0"/>
    <n v="0"/>
    <s v="Pendiente"/>
    <m/>
    <x v="0"/>
    <x v="2"/>
    <m/>
    <s v="Perú"/>
  </r>
  <r>
    <m/>
    <s v="Automatización en el proceso de retenciones"/>
    <m/>
    <m/>
    <s v="Contabilidad"/>
    <m/>
    <s v="M"/>
    <n v="2"/>
    <n v="2"/>
    <s v="José"/>
    <s v="L Rojas"/>
    <s v="Sin iniciar"/>
    <m/>
    <s v="x"/>
    <m/>
    <s v="x"/>
    <m/>
    <m/>
    <n v="10000"/>
    <n v="0"/>
    <n v="0"/>
    <n v="0"/>
    <n v="0"/>
    <s v="Pendiente"/>
    <m/>
    <x v="0"/>
    <x v="2"/>
    <m/>
    <s v="Perú"/>
  </r>
  <r>
    <m/>
    <s v="Módulos: Formulación presupuestal y flujo de caja"/>
    <m/>
    <m/>
    <s v="Adm&amp;Fin"/>
    <m/>
    <s v="M"/>
    <n v="2"/>
    <n v="1"/>
    <s v="Marcos"/>
    <s v="L Rojas"/>
    <s v="Sin iniciar"/>
    <m/>
    <m/>
    <m/>
    <s v="x"/>
    <m/>
    <m/>
    <n v="10000"/>
    <n v="0"/>
    <n v="0"/>
    <n v="0"/>
    <n v="0"/>
    <s v="Pendiente"/>
    <m/>
    <x v="0"/>
    <x v="2"/>
    <m/>
    <s v="Perú"/>
  </r>
  <r>
    <m/>
    <s v="Carga de facturas a Exactus por XML"/>
    <m/>
    <m/>
    <s v="Contabilidad"/>
    <m/>
    <s v="M"/>
    <n v="2"/>
    <n v="2"/>
    <m/>
    <s v="L Rojas"/>
    <s v="Sin iniciar"/>
    <m/>
    <m/>
    <m/>
    <s v="x"/>
    <m/>
    <m/>
    <n v="15200"/>
    <n v="0"/>
    <n v="0"/>
    <n v="0"/>
    <n v="0"/>
    <s v="Pendiente"/>
    <m/>
    <x v="0"/>
    <x v="1"/>
    <m/>
    <s v="Perú"/>
  </r>
  <r>
    <m/>
    <s v="Estructurar el ingreso de la dirección en el CRM"/>
    <s v="Dividir la dirección por calle, número, interior, etc"/>
    <m/>
    <s v="Comercial"/>
    <s v="Emisión"/>
    <s v="S"/>
    <n v="1"/>
    <n v="1"/>
    <s v="Andre"/>
    <s v="L Rojas"/>
    <s v="Sin iniciar"/>
    <m/>
    <m/>
    <s v="x"/>
    <m/>
    <m/>
    <m/>
    <n v="3000"/>
    <n v="0"/>
    <n v="0"/>
    <n v="0"/>
    <n v="0"/>
    <s v="Pendiente"/>
    <m/>
    <x v="0"/>
    <x v="1"/>
    <m/>
    <s v="Perú"/>
  </r>
  <r>
    <m/>
    <s v="Asignación venta NI (Reporte funerarias)"/>
    <s v="Identificar y asignar comisión por primer contacto en ventas NI"/>
    <m/>
    <s v="Comercial"/>
    <m/>
    <s v="M"/>
    <n v="2"/>
    <n v="2"/>
    <s v="Andre"/>
    <s v="L Rojas"/>
    <s v="Sin iniciar"/>
    <m/>
    <m/>
    <s v="x"/>
    <m/>
    <m/>
    <m/>
    <n v="10000"/>
    <n v="0"/>
    <n v="0"/>
    <n v="0"/>
    <n v="0"/>
    <s v="Pendiente"/>
    <m/>
    <x v="0"/>
    <x v="1"/>
    <m/>
    <s v="Perú"/>
  </r>
  <r>
    <m/>
    <s v="Consultas fallecido + espacio + seg tramite"/>
    <m/>
    <m/>
    <s v="Emisión"/>
    <m/>
    <s v="M"/>
    <n v="2"/>
    <n v="0"/>
    <s v="Tymiller"/>
    <m/>
    <s v="Sin iniciar"/>
    <m/>
    <m/>
    <s v="x"/>
    <m/>
    <m/>
    <m/>
    <n v="12000"/>
    <n v="0"/>
    <n v="0"/>
    <n v="0"/>
    <n v="0"/>
    <s v="Pendiente"/>
    <m/>
    <x v="0"/>
    <x v="1"/>
    <m/>
    <s v="Perú"/>
  </r>
  <r>
    <m/>
    <s v="Separaciones de espacio desde el CRM"/>
    <m/>
    <m/>
    <s v="Comercial"/>
    <s v="Tesorería/SAC"/>
    <s v="M"/>
    <n v="2"/>
    <n v="2"/>
    <s v="Andre"/>
    <s v="L Rojas"/>
    <s v="Sin iniciar"/>
    <m/>
    <s v="x"/>
    <s v="x"/>
    <m/>
    <m/>
    <m/>
    <n v="8000"/>
    <n v="0"/>
    <n v="0"/>
    <n v="0"/>
    <n v="0"/>
    <s v="Pendiente"/>
    <m/>
    <x v="0"/>
    <x v="1"/>
    <m/>
    <s v="Perú"/>
  </r>
  <r>
    <m/>
    <s v="SG5 camposanto - mejoras"/>
    <m/>
    <m/>
    <s v="Emisión"/>
    <m/>
    <s v="M"/>
    <n v="2"/>
    <n v="2"/>
    <s v="Tymiller"/>
    <m/>
    <s v="Sin iniciar"/>
    <m/>
    <s v="x"/>
    <m/>
    <m/>
    <m/>
    <m/>
    <n v="12000"/>
    <n v="0"/>
    <n v="0"/>
    <n v="0"/>
    <n v="0"/>
    <s v="Pendiente"/>
    <m/>
    <x v="0"/>
    <x v="2"/>
    <m/>
    <s v="Perú"/>
  </r>
  <r>
    <m/>
    <s v="Check list - Trámite documentario"/>
    <m/>
    <m/>
    <s v="SAC"/>
    <s v="Emisión"/>
    <s v="M"/>
    <n v="2"/>
    <n v="2"/>
    <s v="Deisy"/>
    <s v="L Rojas"/>
    <s v="Sin iniciar"/>
    <m/>
    <s v="x"/>
    <m/>
    <m/>
    <m/>
    <m/>
    <n v="5000"/>
    <n v="0"/>
    <n v="0"/>
    <n v="0"/>
    <n v="0"/>
    <s v="Pendiente"/>
    <m/>
    <x v="0"/>
    <x v="1"/>
    <m/>
    <s v="Perú"/>
  </r>
  <r>
    <m/>
    <s v="Mejora de las agendas - CRM"/>
    <s v="Mejora en el funcionamiento del módulo de agendas en el CRM"/>
    <m/>
    <s v="Comercial"/>
    <m/>
    <s v="M"/>
    <n v="2"/>
    <n v="2"/>
    <s v="Andre"/>
    <s v="L Rojas"/>
    <s v="Sin iniciar"/>
    <m/>
    <m/>
    <s v="x"/>
    <m/>
    <m/>
    <m/>
    <n v="5000"/>
    <n v="0"/>
    <n v="0"/>
    <n v="0"/>
    <n v="0"/>
    <s v="Pendiente"/>
    <m/>
    <x v="0"/>
    <x v="1"/>
    <m/>
    <s v="Perú"/>
  </r>
  <r>
    <m/>
    <s v="interconexión Sigella vs SG5"/>
    <s v="1. Actualización de calificación de cliente_x000a_2. Actualización de cartera de deuda cobranza_x000a_3. Cálculo de comisiones de call center_x000a_4. Elaboración y asignación de carteras de cobranza - Sigella_x000a_5. Envió de IVR masivos_x000a_6. Renovar cartera al equipo call center"/>
    <m/>
    <s v="R&amp;C"/>
    <m/>
    <s v="L"/>
    <n v="4"/>
    <n v="4"/>
    <s v="JCCh"/>
    <s v="L Rojas"/>
    <s v="Sin iniciar"/>
    <m/>
    <s v="x"/>
    <m/>
    <m/>
    <m/>
    <s v="x"/>
    <n v="15000"/>
    <n v="0"/>
    <n v="0"/>
    <n v="0"/>
    <n v="0"/>
    <s v="Pendiente"/>
    <m/>
    <x v="0"/>
    <x v="1"/>
    <m/>
    <s v="Perú"/>
  </r>
  <r>
    <m/>
    <s v="Módulo de comunicaciones"/>
    <s v="Elaborar generador de cartas preresolutorias e Infocorp + Generación de cartas notariales"/>
    <m/>
    <s v="R&amp;C"/>
    <m/>
    <s v="M"/>
    <n v="2"/>
    <n v="2"/>
    <s v="JCCh"/>
    <s v="L Rojas"/>
    <s v="Sin iniciar"/>
    <m/>
    <s v="x"/>
    <m/>
    <m/>
    <m/>
    <m/>
    <n v="15000"/>
    <n v="0"/>
    <n v="0"/>
    <n v="0"/>
    <n v="0"/>
    <s v="Pendiente"/>
    <m/>
    <x v="0"/>
    <x v="1"/>
    <m/>
    <s v="Perú"/>
  </r>
  <r>
    <m/>
    <s v="CRM módulo SAC web"/>
    <m/>
    <m/>
    <s v="SAC"/>
    <m/>
    <s v="L"/>
    <n v="4"/>
    <n v="4"/>
    <s v="Deisy"/>
    <s v="L Rojas"/>
    <s v="Sin iniciar"/>
    <m/>
    <s v="x"/>
    <s v="x"/>
    <m/>
    <s v="x"/>
    <m/>
    <n v="6000"/>
    <n v="0"/>
    <n v="0"/>
    <n v="0"/>
    <n v="0"/>
    <s v="Pendiente"/>
    <m/>
    <x v="0"/>
    <x v="1"/>
    <m/>
    <s v="Perú"/>
  </r>
  <r>
    <m/>
    <s v="Mejora SG5 - Visualización SSFF para SAC"/>
    <s v="Vinculación con la distribuciones en las colas de R&amp;C"/>
    <m/>
    <s v="SAC"/>
    <m/>
    <s v="S"/>
    <n v="1"/>
    <n v="1"/>
    <s v="Deisy"/>
    <s v="L Rojas"/>
    <s v="Sin iniciar"/>
    <m/>
    <s v="x"/>
    <m/>
    <m/>
    <m/>
    <m/>
    <n v="8000"/>
    <n v="0"/>
    <n v="0"/>
    <n v="0"/>
    <n v="0"/>
    <s v="Pendiente"/>
    <m/>
    <x v="0"/>
    <x v="1"/>
    <m/>
    <s v="Perú"/>
  </r>
  <r>
    <m/>
    <s v="Sistema de control/uso de flota"/>
    <m/>
    <m/>
    <s v="SAC"/>
    <m/>
    <s v="L"/>
    <n v="4"/>
    <n v="4"/>
    <s v="Deisy"/>
    <s v="L Rojas"/>
    <s v="Sin iniciar"/>
    <m/>
    <s v="x"/>
    <s v="x"/>
    <m/>
    <m/>
    <s v="x"/>
    <n v="8000"/>
    <n v="0"/>
    <n v="0"/>
    <n v="0"/>
    <n v="0"/>
    <s v="Pendiente"/>
    <m/>
    <x v="0"/>
    <x v="1"/>
    <m/>
    <s v="Perú"/>
  </r>
  <r>
    <m/>
    <s v="Mejoras Exactus - Logística"/>
    <s v="1. Anticipo vs registro de facturas_x000a_2. Direccionar la orden a su centro de costo_x000a_3. Carga masiva para ingreso de almacen_x000a_4. Otras modificaciones"/>
    <m/>
    <s v="Logistica"/>
    <m/>
    <s v="M"/>
    <n v="2"/>
    <n v="2"/>
    <s v="Yadira"/>
    <s v="L Rojas"/>
    <s v="Sin iniciar"/>
    <m/>
    <m/>
    <m/>
    <s v="x"/>
    <m/>
    <m/>
    <n v="10000"/>
    <n v="0"/>
    <n v="0"/>
    <n v="0"/>
    <n v="0"/>
    <s v="Pendiente"/>
    <m/>
    <x v="0"/>
    <x v="1"/>
    <m/>
    <s v="Perú"/>
  </r>
  <r>
    <m/>
    <s v="Interconexión Masiv vs SG5"/>
    <s v="Envió de SMS masivos + bienvenida al cliente"/>
    <m/>
    <s v="R&amp;C"/>
    <s v="Emisión"/>
    <s v="M"/>
    <n v="2"/>
    <n v="2"/>
    <s v="JCCh"/>
    <s v="L Rojas"/>
    <s v="Sin iniciar"/>
    <m/>
    <s v="x"/>
    <m/>
    <m/>
    <m/>
    <s v="x"/>
    <n v="10000"/>
    <n v="0"/>
    <n v="0"/>
    <n v="0"/>
    <n v="0"/>
    <s v="Pendiente"/>
    <m/>
    <x v="0"/>
    <x v="1"/>
    <m/>
    <s v="Perú"/>
  </r>
  <r>
    <m/>
    <s v="Módulo reportes"/>
    <s v="Ejecucion de reportes Cierre contable + Generar reporte de retiro de lapidas para SAC"/>
    <m/>
    <s v="R&amp;C"/>
    <m/>
    <s v="M"/>
    <n v="2"/>
    <n v="2"/>
    <s v="JCCh"/>
    <s v="L Rojas"/>
    <s v="Sin iniciar"/>
    <m/>
    <s v="x"/>
    <m/>
    <m/>
    <m/>
    <m/>
    <n v="7000"/>
    <n v="0"/>
    <n v="0"/>
    <n v="0"/>
    <n v="0"/>
    <s v="Pendiente"/>
    <m/>
    <x v="0"/>
    <x v="1"/>
    <m/>
    <s v="Perú"/>
  </r>
  <r>
    <m/>
    <s v="Visor de documentos"/>
    <m/>
    <m/>
    <s v="Emisión"/>
    <m/>
    <s v="L"/>
    <n v="4"/>
    <n v="4"/>
    <s v="Tymiller"/>
    <m/>
    <s v="Sin iniciar"/>
    <m/>
    <m/>
    <m/>
    <m/>
    <m/>
    <s v="x"/>
    <n v="12000"/>
    <n v="0"/>
    <n v="0"/>
    <n v="0"/>
    <n v="0"/>
    <s v="Pendiente"/>
    <m/>
    <x v="0"/>
    <x v="1"/>
    <m/>
    <s v="Perú"/>
  </r>
  <r>
    <m/>
    <s v="LRV - 2° fase"/>
    <m/>
    <m/>
    <s v="Proyectos"/>
    <m/>
    <s v="S"/>
    <n v="1"/>
    <n v="1"/>
    <m/>
    <s v="L Rojas"/>
    <s v="Sin iniciar"/>
    <m/>
    <s v="x"/>
    <m/>
    <m/>
    <m/>
    <m/>
    <n v="5000"/>
    <n v="0"/>
    <n v="0"/>
    <n v="0"/>
    <n v="0"/>
    <s v="Pendiente"/>
    <m/>
    <x v="0"/>
    <x v="1"/>
    <m/>
    <s v="Perú"/>
  </r>
  <r>
    <m/>
    <s v="Mejora SG5 - Reporte de servicios de sepultura"/>
    <m/>
    <m/>
    <s v="SAC"/>
    <m/>
    <s v="S"/>
    <n v="1"/>
    <n v="1"/>
    <s v="Deisy"/>
    <s v="L Rojas"/>
    <s v="Sin iniciar"/>
    <m/>
    <s v="x"/>
    <m/>
    <m/>
    <m/>
    <m/>
    <n v="4000"/>
    <n v="0"/>
    <n v="0"/>
    <n v="0"/>
    <n v="0"/>
    <s v="Pendiente"/>
    <m/>
    <x v="0"/>
    <x v="1"/>
    <m/>
    <s v="Perú"/>
  </r>
  <r>
    <m/>
    <s v="SG5 web"/>
    <m/>
    <m/>
    <s v="Proyectos"/>
    <m/>
    <s v="L"/>
    <n v="4"/>
    <n v="4"/>
    <m/>
    <s v="L Rojas"/>
    <s v="Sin iniciar"/>
    <m/>
    <s v="x"/>
    <m/>
    <m/>
    <m/>
    <m/>
    <n v="16000"/>
    <n v="0"/>
    <n v="0"/>
    <n v="0"/>
    <n v="0"/>
    <s v="Pendiente"/>
    <m/>
    <x v="0"/>
    <x v="1"/>
    <m/>
    <s v="Perú"/>
  </r>
  <r>
    <m/>
    <s v="Mejoras Muyashop"/>
    <m/>
    <m/>
    <s v="Marketing"/>
    <m/>
    <s v="M"/>
    <n v="2"/>
    <n v="2"/>
    <s v="Priscila"/>
    <s v="L Rojas"/>
    <s v="Sin iniciar"/>
    <m/>
    <s v="x"/>
    <m/>
    <s v="x"/>
    <m/>
    <m/>
    <n v="10000"/>
    <n v="0"/>
    <n v="0"/>
    <n v="0"/>
    <n v="0"/>
    <s v="Pendiente"/>
    <m/>
    <x v="0"/>
    <x v="1"/>
    <m/>
    <s v="Perú"/>
  </r>
  <r>
    <m/>
    <s v="Web: independizar página de Ecuador"/>
    <m/>
    <m/>
    <s v="Marketing"/>
    <m/>
    <s v="M"/>
    <n v="2"/>
    <n v="2"/>
    <s v="Priscila"/>
    <s v="L Rojas"/>
    <s v="Sin iniciar"/>
    <m/>
    <m/>
    <m/>
    <m/>
    <s v="x"/>
    <m/>
    <n v="10000"/>
    <n v="0"/>
    <n v="0"/>
    <n v="0"/>
    <n v="0"/>
    <s v="Pendiente"/>
    <m/>
    <x v="0"/>
    <x v="1"/>
    <m/>
    <s v="Perú"/>
  </r>
  <r>
    <m/>
    <s v="Desplazamiento y ubicación consejeros"/>
    <m/>
    <m/>
    <s v="Comercial"/>
    <m/>
    <s v="L"/>
    <n v="4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Directorio activo"/>
    <s v="Integrar la gestión de usuarios de todos los sistemas"/>
    <m/>
    <s v="TI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Pasar los reportes de Power BI en el CRM (hechos por Ty) a una vista protegida"/>
    <m/>
    <m/>
    <s v="Proyectos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Programación de sepelios electrónico (SAC y Parque)"/>
    <s v="Propuesta de CC. Colocar una pantalla dentro del camposanto donde se proyecten misas, entierros, etc"/>
    <m/>
    <s v="SAC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Comunicator"/>
    <s v="Propuesta de CC. Plan de comunicaciones de Muya"/>
    <m/>
    <s v="Marketing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Con un usuario ingresar a todas las sedes en SG5"/>
    <m/>
    <m/>
    <s v="TI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n v="1"/>
    <s v="P202301"/>
    <x v="0"/>
    <n v="23000"/>
    <m/>
    <x v="0"/>
    <m/>
    <x v="0"/>
  </r>
  <r>
    <n v="2"/>
    <s v="P202302"/>
    <x v="0"/>
    <n v="29000"/>
    <m/>
    <x v="0"/>
    <m/>
    <x v="0"/>
  </r>
  <r>
    <n v="3"/>
    <s v="P202303"/>
    <x v="0"/>
    <n v="6000"/>
    <m/>
    <x v="0"/>
    <m/>
    <x v="0"/>
  </r>
  <r>
    <n v="4"/>
    <s v="P202304"/>
    <x v="0"/>
    <n v="2000"/>
    <m/>
    <x v="0"/>
    <m/>
    <x v="0"/>
  </r>
  <r>
    <n v="5"/>
    <s v="P202305"/>
    <x v="0"/>
    <n v="20000"/>
    <m/>
    <x v="0"/>
    <m/>
    <x v="0"/>
  </r>
  <r>
    <n v="6"/>
    <s v="P202306"/>
    <x v="0"/>
    <n v="22500"/>
    <m/>
    <x v="0"/>
    <m/>
    <x v="0"/>
  </r>
  <r>
    <n v="7"/>
    <s v="P202307"/>
    <x v="0"/>
    <n v="22500"/>
    <m/>
    <x v="0"/>
    <m/>
    <x v="0"/>
  </r>
  <r>
    <n v="8"/>
    <s v="P202308"/>
    <x v="0"/>
    <n v="4000"/>
    <m/>
    <x v="0"/>
    <m/>
    <x v="0"/>
  </r>
  <r>
    <n v="9"/>
    <s v="P202309"/>
    <x v="0"/>
    <n v="20000"/>
    <m/>
    <x v="0"/>
    <m/>
    <x v="0"/>
  </r>
  <r>
    <n v="10"/>
    <s v="P202310"/>
    <x v="0"/>
    <n v="13000"/>
    <m/>
    <x v="0"/>
    <m/>
    <x v="0"/>
  </r>
  <r>
    <n v="11"/>
    <s v="P202311"/>
    <x v="0"/>
    <n v="2000"/>
    <m/>
    <x v="0"/>
    <m/>
    <x v="0"/>
  </r>
  <r>
    <n v="12"/>
    <s v="P202312"/>
    <x v="0"/>
    <n v="10000"/>
    <m/>
    <x v="0"/>
    <m/>
    <x v="0"/>
  </r>
  <r>
    <n v="13"/>
    <s v="P202313"/>
    <x v="0"/>
    <n v="12000"/>
    <m/>
    <x v="0"/>
    <m/>
    <x v="0"/>
  </r>
  <r>
    <n v="14"/>
    <s v="P202314"/>
    <x v="0"/>
    <n v="8000"/>
    <m/>
    <x v="0"/>
    <m/>
    <x v="0"/>
  </r>
  <r>
    <n v="15"/>
    <s v="P202315"/>
    <x v="0"/>
    <n v="5000"/>
    <m/>
    <x v="0"/>
    <m/>
    <x v="0"/>
  </r>
  <r>
    <n v="16"/>
    <s v="P202316"/>
    <x v="0"/>
    <n v="12000"/>
    <m/>
    <x v="0"/>
    <m/>
    <x v="0"/>
  </r>
  <r>
    <n v="17"/>
    <s v="P202317"/>
    <x v="0"/>
    <n v="28000"/>
    <m/>
    <x v="0"/>
    <m/>
    <x v="0"/>
  </r>
  <r>
    <n v="18"/>
    <s v="P202318"/>
    <x v="0"/>
    <n v="5000"/>
    <m/>
    <x v="0"/>
    <m/>
    <x v="0"/>
  </r>
  <r>
    <n v="19"/>
    <s v="P202319"/>
    <x v="0"/>
    <n v="5000"/>
    <m/>
    <x v="0"/>
    <m/>
    <x v="0"/>
  </r>
  <r>
    <n v="20"/>
    <s v="P202320"/>
    <x v="0"/>
    <n v="7000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m/>
    <m/>
    <x v="0"/>
    <m/>
    <x v="0"/>
  </r>
  <r>
    <m/>
    <s v=""/>
    <x v="1"/>
    <m/>
    <m/>
    <x v="0"/>
    <m/>
    <x v="0"/>
  </r>
  <r>
    <m/>
    <s v=""/>
    <x v="1"/>
    <m/>
    <m/>
    <x v="0"/>
    <m/>
    <x v="0"/>
  </r>
  <r>
    <n v="1001"/>
    <s v=""/>
    <x v="2"/>
    <m/>
    <n v="7490"/>
    <x v="1"/>
    <n v="7490"/>
    <x v="1"/>
  </r>
  <r>
    <n v="1002"/>
    <s v=""/>
    <x v="2"/>
    <m/>
    <n v="5243"/>
    <x v="1"/>
    <n v="5243"/>
    <x v="2"/>
  </r>
  <r>
    <n v="1003"/>
    <s v=""/>
    <x v="2"/>
    <m/>
    <n v="2320"/>
    <x v="1"/>
    <n v="2320"/>
    <x v="3"/>
  </r>
  <r>
    <n v="1004"/>
    <s v=""/>
    <x v="2"/>
    <m/>
    <n v="2412"/>
    <x v="1"/>
    <n v="2412"/>
    <x v="3"/>
  </r>
  <r>
    <n v="1005"/>
    <s v=""/>
    <x v="2"/>
    <m/>
    <n v="4515"/>
    <x v="1"/>
    <n v="4515"/>
    <x v="4"/>
  </r>
  <r>
    <n v="1006"/>
    <s v="No tiene código"/>
    <x v="3"/>
    <m/>
    <n v="0"/>
    <x v="2"/>
    <n v="0"/>
    <x v="5"/>
  </r>
  <r>
    <n v="1007"/>
    <s v=""/>
    <x v="2"/>
    <m/>
    <n v="2247"/>
    <x v="1"/>
    <n v="2247"/>
    <x v="4"/>
  </r>
  <r>
    <n v="1008"/>
    <s v="No tiene código"/>
    <x v="3"/>
    <m/>
    <n v="0"/>
    <x v="2"/>
    <n v="0"/>
    <x v="5"/>
  </r>
  <r>
    <n v="1009"/>
    <s v=""/>
    <x v="2"/>
    <m/>
    <n v="960"/>
    <x v="1"/>
    <n v="960"/>
    <x v="4"/>
  </r>
  <r>
    <n v="1010"/>
    <s v=""/>
    <x v="2"/>
    <m/>
    <n v="2420"/>
    <x v="1"/>
    <n v="2420"/>
    <x v="4"/>
  </r>
  <r>
    <n v="1011"/>
    <s v=""/>
    <x v="2"/>
    <m/>
    <n v="2814"/>
    <x v="1"/>
    <n v="2814"/>
    <x v="4"/>
  </r>
  <r>
    <n v="1012"/>
    <s v=""/>
    <x v="2"/>
    <m/>
    <n v="3210"/>
    <x v="1"/>
    <n v="3210"/>
    <x v="4"/>
  </r>
  <r>
    <n v="1013"/>
    <s v="No tiene código"/>
    <x v="3"/>
    <m/>
    <n v="0"/>
    <x v="2"/>
    <n v="0"/>
    <x v="5"/>
  </r>
  <r>
    <n v="1014"/>
    <s v=""/>
    <x v="2"/>
    <m/>
    <n v="2814"/>
    <x v="1"/>
    <n v="2814"/>
    <x v="6"/>
  </r>
  <r>
    <n v="1015"/>
    <s v=""/>
    <x v="2"/>
    <m/>
    <n v="2496.67"/>
    <x v="1"/>
    <n v="2496.67"/>
    <x v="6"/>
  </r>
  <r>
    <n v="1016"/>
    <s v=""/>
    <x v="2"/>
    <m/>
    <n v="1780"/>
    <x v="1"/>
    <n v="1780"/>
    <x v="6"/>
  </r>
  <r>
    <n v="1017"/>
    <s v=""/>
    <x v="2"/>
    <m/>
    <n v="3000"/>
    <x v="1"/>
    <n v="3000"/>
    <x v="6"/>
  </r>
  <r>
    <n v="1018"/>
    <s v=""/>
    <x v="2"/>
    <m/>
    <n v="840"/>
    <x v="1"/>
    <n v="840"/>
    <x v="6"/>
  </r>
  <r>
    <n v="1019"/>
    <s v="No tiene código"/>
    <x v="3"/>
    <m/>
    <n v="0"/>
    <x v="2"/>
    <n v="0"/>
    <x v="5"/>
  </r>
  <r>
    <n v="1020"/>
    <s v=""/>
    <x v="2"/>
    <m/>
    <n v="2496.67"/>
    <x v="1"/>
    <n v="2496.67"/>
    <x v="7"/>
  </r>
  <r>
    <n v="1021"/>
    <s v=""/>
    <x v="2"/>
    <m/>
    <n v="2333.33"/>
    <x v="1"/>
    <n v="2333.33"/>
    <x v="7"/>
  </r>
  <r>
    <n v="1022"/>
    <s v=""/>
    <x v="2"/>
    <m/>
    <n v="640"/>
    <x v="1"/>
    <n v="640"/>
    <x v="7"/>
  </r>
  <r>
    <n v="1023"/>
    <s v=""/>
    <x v="2"/>
    <m/>
    <n v="1920"/>
    <x v="1"/>
    <n v="1920"/>
    <x v="7"/>
  </r>
  <r>
    <n v="1024"/>
    <s v=""/>
    <x v="2"/>
    <m/>
    <n v="2560"/>
    <x v="1"/>
    <n v="2560"/>
    <x v="7"/>
  </r>
  <r>
    <n v="1025"/>
    <s v=""/>
    <x v="2"/>
    <m/>
    <n v="2560"/>
    <x v="1"/>
    <n v="2560"/>
    <x v="7"/>
  </r>
  <r>
    <n v="1026"/>
    <s v=""/>
    <x v="2"/>
    <m/>
    <n v="2496.67"/>
    <x v="1"/>
    <n v="2496.67"/>
    <x v="8"/>
  </r>
  <r>
    <n v="1027"/>
    <s v="No tiene código"/>
    <x v="3"/>
    <m/>
    <n v="0"/>
    <x v="2"/>
    <n v="0"/>
    <x v="5"/>
  </r>
  <r>
    <n v="1028"/>
    <s v=""/>
    <x v="2"/>
    <m/>
    <n v="2333.33"/>
    <x v="1"/>
    <n v="2333.33"/>
    <x v="8"/>
  </r>
  <r>
    <n v="1029"/>
    <s v=""/>
    <x v="2"/>
    <m/>
    <n v="3990"/>
    <x v="1"/>
    <n v="3990"/>
    <x v="8"/>
  </r>
  <r>
    <n v="1030"/>
    <s v=""/>
    <x v="2"/>
    <m/>
    <n v="240"/>
    <x v="1"/>
    <n v="240"/>
    <x v="9"/>
  </r>
  <r>
    <n v="1031"/>
    <s v=""/>
    <x v="2"/>
    <m/>
    <n v="3103.3333333333335"/>
    <x v="1"/>
    <n v="3103.3333333333335"/>
    <x v="10"/>
  </r>
  <r>
    <n v="1032"/>
    <s v="No tiene código"/>
    <x v="3"/>
    <m/>
    <n v="0"/>
    <x v="2"/>
    <n v="0"/>
    <x v="5"/>
  </r>
  <r>
    <n v="1033"/>
    <s v="No tiene código"/>
    <x v="3"/>
    <m/>
    <n v="0"/>
    <x v="2"/>
    <n v="0"/>
    <x v="5"/>
  </r>
  <r>
    <n v="1034"/>
    <s v=""/>
    <x v="2"/>
    <m/>
    <n v="3103.3333333333335"/>
    <x v="1"/>
    <n v="3103.3333333333335"/>
    <x v="11"/>
  </r>
  <r>
    <n v="1035"/>
    <s v="No tiene código"/>
    <x v="3"/>
    <m/>
    <n v="0"/>
    <x v="2"/>
    <n v="0"/>
    <x v="5"/>
  </r>
  <r>
    <n v="1036"/>
    <s v=""/>
    <x v="2"/>
    <m/>
    <n v="3103.3333333333335"/>
    <x v="1"/>
    <n v="3103.3333333333335"/>
    <x v="11"/>
  </r>
  <r>
    <n v="1037"/>
    <s v=""/>
    <x v="2"/>
    <m/>
    <n v="2333.33"/>
    <x v="1"/>
    <n v="2333.33"/>
    <x v="12"/>
  </r>
  <r>
    <n v="1038"/>
    <s v="P202320"/>
    <x v="0"/>
    <m/>
    <n v="1780"/>
    <x v="3"/>
    <n v="1780"/>
    <x v="7"/>
  </r>
  <r>
    <n v="1039"/>
    <s v="No tiene código"/>
    <x v="3"/>
    <m/>
    <n v="0"/>
    <x v="2"/>
    <n v="0"/>
    <x v="5"/>
  </r>
  <r>
    <n v="1040"/>
    <s v="P202311"/>
    <x v="0"/>
    <m/>
    <n v="1200"/>
    <x v="4"/>
    <n v="1200"/>
    <x v="8"/>
  </r>
  <r>
    <n v="1041"/>
    <s v="P202302"/>
    <x v="0"/>
    <m/>
    <n v="11700"/>
    <x v="5"/>
    <n v="11700"/>
    <x v="13"/>
  </r>
  <r>
    <n v="1042"/>
    <s v="P202318"/>
    <x v="0"/>
    <m/>
    <n v="925"/>
    <x v="6"/>
    <n v="925"/>
    <x v="10"/>
  </r>
  <r>
    <n v="1043"/>
    <s v="P202319"/>
    <x v="0"/>
    <m/>
    <n v="2420"/>
    <x v="5"/>
    <n v="2420"/>
    <x v="10"/>
  </r>
  <r>
    <n v="1044"/>
    <s v="No tiene código"/>
    <x v="3"/>
    <m/>
    <n v="0"/>
    <x v="2"/>
    <n v="0"/>
    <x v="5"/>
  </r>
  <r>
    <n v="1045"/>
    <s v="P202314"/>
    <x v="0"/>
    <m/>
    <n v="3060"/>
    <x v="5"/>
    <n v="3060"/>
    <x v="10"/>
  </r>
  <r>
    <n v="1046"/>
    <s v="P202303"/>
    <x v="0"/>
    <m/>
    <n v="3400"/>
    <x v="7"/>
    <n v="3400"/>
    <x v="11"/>
  </r>
  <r>
    <n v="1047"/>
    <s v="P202302"/>
    <x v="0"/>
    <m/>
    <n v="5460"/>
    <x v="5"/>
    <n v="5460"/>
    <x v="11"/>
  </r>
  <r>
    <n v="1048"/>
    <s v="No tiene código"/>
    <x v="3"/>
    <m/>
    <n v="0"/>
    <x v="2"/>
    <n v="0"/>
    <x v="5"/>
  </r>
  <r>
    <n v="1049"/>
    <s v="P202302"/>
    <x v="0"/>
    <m/>
    <n v="2130"/>
    <x v="5"/>
    <n v="2130"/>
    <x v="11"/>
  </r>
  <r>
    <n v="1050"/>
    <s v="P202302"/>
    <x v="0"/>
    <m/>
    <n v="5460"/>
    <x v="5"/>
    <n v="5460"/>
    <x v="14"/>
  </r>
  <r>
    <n v="1051"/>
    <s v="P202302"/>
    <x v="0"/>
    <m/>
    <n v="2485"/>
    <x v="5"/>
    <n v="2485"/>
    <x v="14"/>
  </r>
  <r>
    <n v="1052"/>
    <s v="P202304"/>
    <x v="0"/>
    <m/>
    <n v="1800"/>
    <x v="7"/>
    <n v="1800"/>
    <x v="14"/>
  </r>
  <r>
    <n v="1053"/>
    <s v="No tiene código"/>
    <x v="3"/>
    <m/>
    <n v="0"/>
    <x v="2"/>
    <n v="0"/>
    <x v="5"/>
  </r>
  <r>
    <n v="1054"/>
    <s v="No tiene código"/>
    <x v="3"/>
    <m/>
    <n v="0"/>
    <x v="2"/>
    <n v="0"/>
    <x v="5"/>
  </r>
  <r>
    <n v="1055"/>
    <s v="P202302"/>
    <x v="0"/>
    <m/>
    <n v="5460"/>
    <x v="5"/>
    <n v="5460"/>
    <x v="15"/>
  </r>
  <r>
    <n v="1056"/>
    <s v="P202302"/>
    <x v="0"/>
    <m/>
    <n v="2485"/>
    <x v="5"/>
    <n v="0"/>
    <x v="12"/>
  </r>
  <r>
    <n v="1057"/>
    <s v="P202303"/>
    <x v="0"/>
    <m/>
    <n v="2800"/>
    <x v="7"/>
    <n v="2800"/>
    <x v="12"/>
  </r>
  <r>
    <n v="1058"/>
    <s v="No tiene código"/>
    <x v="3"/>
    <m/>
    <n v="0"/>
    <x v="2"/>
    <n v="0"/>
    <x v="5"/>
  </r>
  <r>
    <n v="1059"/>
    <s v="P202302"/>
    <x v="0"/>
    <m/>
    <n v="5460"/>
    <x v="5"/>
    <n v="5460"/>
    <x v="12"/>
  </r>
  <r>
    <n v="1060"/>
    <s v="No tiene código"/>
    <x v="3"/>
    <m/>
    <n v="0"/>
    <x v="2"/>
    <n v="0"/>
    <x v="5"/>
  </r>
  <r>
    <n v="1061"/>
    <s v="P202302"/>
    <x v="0"/>
    <m/>
    <n v="5460"/>
    <x v="5"/>
    <n v="0"/>
    <x v="16"/>
  </r>
  <r>
    <n v="1062"/>
    <s v="No tiene código"/>
    <x v="3"/>
    <m/>
    <n v="0"/>
    <x v="2"/>
    <n v="0"/>
    <x v="5"/>
  </r>
  <r>
    <n v="1063"/>
    <s v="No tiene código"/>
    <x v="3"/>
    <m/>
    <n v="0"/>
    <x v="2"/>
    <n v="0"/>
    <x v="5"/>
  </r>
  <r>
    <n v="1064"/>
    <s v="No tiene código"/>
    <x v="3"/>
    <m/>
    <n v="0"/>
    <x v="2"/>
    <n v="0"/>
    <x v="5"/>
  </r>
  <r>
    <n v="1065"/>
    <s v="P202304"/>
    <x v="0"/>
    <m/>
    <n v="4640"/>
    <x v="8"/>
    <n v="4640"/>
    <x v="12"/>
  </r>
  <r>
    <n v="1066"/>
    <s v="P202304"/>
    <x v="0"/>
    <m/>
    <n v="4640"/>
    <x v="8"/>
    <n v="0"/>
    <x v="16"/>
  </r>
  <r>
    <n v="1067"/>
    <s v="P202307"/>
    <x v="0"/>
    <m/>
    <n v="4110"/>
    <x v="8"/>
    <n v="4110"/>
    <x v="12"/>
  </r>
  <r>
    <n v="1068"/>
    <s v="P202307"/>
    <x v="0"/>
    <m/>
    <n v="4795"/>
    <x v="8"/>
    <n v="4795"/>
    <x v="16"/>
  </r>
  <r>
    <n v="1069"/>
    <s v="P202307"/>
    <x v="0"/>
    <m/>
    <n v="4795"/>
    <x v="8"/>
    <n v="0"/>
    <x v="17"/>
  </r>
  <r>
    <n v="1070"/>
    <s v="P202307"/>
    <x v="0"/>
    <m/>
    <n v="700"/>
    <x v="8"/>
    <n v="700"/>
    <x v="12"/>
  </r>
  <r>
    <n v="1071"/>
    <s v="P202314"/>
    <x v="0"/>
    <m/>
    <n v="4840"/>
    <x v="9"/>
    <n v="4840"/>
    <x v="16"/>
  </r>
  <r>
    <n v="1072"/>
    <s v="P202314"/>
    <x v="0"/>
    <m/>
    <n v="4840"/>
    <x v="9"/>
    <n v="0"/>
    <x v="17"/>
  </r>
  <r>
    <n v="1073"/>
    <s v="P202314"/>
    <x v="0"/>
    <m/>
    <n v="1170"/>
    <x v="9"/>
    <n v="0"/>
    <x v="16"/>
  </r>
  <r>
    <n v="1074"/>
    <s v="P202313"/>
    <x v="0"/>
    <m/>
    <n v="5600"/>
    <x v="10"/>
    <n v="5600"/>
    <x v="16"/>
  </r>
  <r>
    <n v="1075"/>
    <s v="P202313"/>
    <x v="0"/>
    <m/>
    <n v="5600"/>
    <x v="10"/>
    <n v="0"/>
    <x v="18"/>
  </r>
  <r>
    <n v="1076"/>
    <s v="No tiene código"/>
    <x v="3"/>
    <m/>
    <n v="0"/>
    <x v="2"/>
    <n v="0"/>
    <x v="5"/>
  </r>
  <r>
    <n v="1077"/>
    <s v="P202305"/>
    <x v="0"/>
    <m/>
    <n v="7150"/>
    <x v="10"/>
    <n v="0"/>
    <x v="17"/>
  </r>
  <r>
    <n v="1078"/>
    <s v="P202305"/>
    <x v="0"/>
    <m/>
    <n v="7150"/>
    <x v="10"/>
    <n v="0"/>
    <x v="19"/>
  </r>
  <r>
    <n v="1079"/>
    <s v="P202307"/>
    <x v="0"/>
    <m/>
    <n v="3000"/>
    <x v="10"/>
    <n v="0"/>
    <x v="17"/>
  </r>
  <r>
    <n v="1080"/>
    <s v="P202307"/>
    <x v="0"/>
    <m/>
    <n v="3500"/>
    <x v="10"/>
    <n v="0"/>
    <x v="18"/>
  </r>
  <r>
    <n v="1081"/>
    <s v="P202307"/>
    <x v="0"/>
    <m/>
    <n v="3500"/>
    <x v="10"/>
    <n v="0"/>
    <x v="19"/>
  </r>
  <r>
    <n v="1082"/>
    <s v="No tiene código"/>
    <x v="3"/>
    <m/>
    <n v="0"/>
    <x v="2"/>
    <n v="0"/>
    <x v="5"/>
  </r>
  <r>
    <n v="1083"/>
    <s v="No tiene código"/>
    <x v="1"/>
    <m/>
    <n v="0"/>
    <x v="2"/>
    <n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6E5718-C603-481C-BD39-5FAB8B5A9771}" name="TablaDinámica1" cacheId="15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O8:P29" firstHeaderRow="1" firstDataRow="1" firstDataCol="1"/>
  <pivotFields count="8">
    <pivotField showAll="0"/>
    <pivotField showAll="0"/>
    <pivotField axis="axisRow" showAll="0">
      <items count="5">
        <item sd="0" x="2"/>
        <item x="0"/>
        <item x="1"/>
        <item x="3"/>
        <item t="default"/>
      </items>
    </pivotField>
    <pivotField showAll="0"/>
    <pivotField showAll="0"/>
    <pivotField showAll="0"/>
    <pivotField dataField="1" showAll="0"/>
    <pivotField axis="axisRow" showAll="0">
      <items count="22">
        <item x="5"/>
        <item m="1" x="20"/>
        <item x="1"/>
        <item x="2"/>
        <item x="3"/>
        <item x="4"/>
        <item x="6"/>
        <item x="7"/>
        <item x="8"/>
        <item x="9"/>
        <item x="13"/>
        <item x="10"/>
        <item x="11"/>
        <item x="14"/>
        <item x="15"/>
        <item x="12"/>
        <item x="16"/>
        <item x="17"/>
        <item x="18"/>
        <item x="19"/>
        <item x="0"/>
        <item t="default"/>
      </items>
    </pivotField>
  </pivotFields>
  <rowFields count="2">
    <field x="2"/>
    <field x="7"/>
  </rowFields>
  <rowItems count="21">
    <i>
      <x/>
    </i>
    <i>
      <x v="1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20"/>
    </i>
    <i>
      <x v="3"/>
    </i>
    <i r="1">
      <x/>
    </i>
    <i t="grand">
      <x/>
    </i>
  </rowItems>
  <colItems count="1">
    <i/>
  </colItems>
  <dataFields count="1">
    <dataField name="Suma de Ejecutado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673935-10E1-4018-A759-E4184A1BFC71}" name="TablaDinámica9" cacheId="15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>
  <location ref="F1:H13" firstHeaderRow="0" firstDataRow="1" firstDataCol="1"/>
  <pivotFields count="8">
    <pivotField showAll="0"/>
    <pivotField showAll="0"/>
    <pivotField axis="axisRow" showAll="0">
      <items count="5">
        <item h="1" sd="0" x="2"/>
        <item x="0"/>
        <item h="1" sd="0" x="1"/>
        <item h="1" sd="0" x="3"/>
        <item t="default"/>
      </items>
    </pivotField>
    <pivotField showAll="0"/>
    <pivotField showAll="0"/>
    <pivotField showAll="0"/>
    <pivotField dataField="1" showAll="0"/>
    <pivotField axis="axisRow" showAll="0">
      <items count="22">
        <item x="5"/>
        <item m="1" x="20"/>
        <item x="1"/>
        <item x="2"/>
        <item x="3"/>
        <item x="4"/>
        <item x="6"/>
        <item n="Ene-23" x="7"/>
        <item n="Feb-23" x="8"/>
        <item x="9"/>
        <item n="Abr-23" x="13"/>
        <item n="May-23" x="10"/>
        <item n="Jun-23" x="11"/>
        <item n="Jul-23" x="14"/>
        <item n="Ago-23" x="15"/>
        <item n="Set-23" x="12"/>
        <item n="Oct-23" x="16"/>
        <item n="Nov-23" h="1" x="17"/>
        <item n="Dic-23" h="1" x="18"/>
        <item x="0"/>
        <item h="1" x="19"/>
        <item t="default"/>
      </items>
    </pivotField>
  </pivotFields>
  <rowFields count="2">
    <field x="2"/>
    <field x="7"/>
  </rowFields>
  <rowItems count="12">
    <i>
      <x v="1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9"/>
    </i>
    <i t="grand">
      <x/>
    </i>
  </rowItems>
  <colFields count="1">
    <field x="-2"/>
  </colFields>
  <colItems count="2">
    <i>
      <x/>
    </i>
    <i i="1">
      <x v="1"/>
    </i>
  </colItems>
  <dataFields count="2">
    <dataField name="Proy.pagados" fld="6" baseField="2" baseItem="1" numFmtId="44"/>
    <dataField name="Proy. pagados.acum" fld="6" showDataAs="runTotal" baseField="7" baseItem="0"/>
  </dataFields>
  <formats count="2">
    <format dxfId="40">
      <pivotArea outline="0" collapsedLevelsAreSubtotals="1" fieldPosition="0"/>
    </format>
    <format dxfId="39">
      <pivotArea dataOnly="0" labelOnly="1" outline="0" axis="axisValues" fieldPosition="0"/>
    </format>
  </formats>
  <chartFormats count="4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18E99F-F3CB-4437-A127-264FB5B7B84B}" name="TablaDinámica10" cacheId="15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7">
  <location ref="K1:M12" firstHeaderRow="0" firstDataRow="1" firstDataCol="1"/>
  <pivotFields count="8">
    <pivotField showAll="0"/>
    <pivotField showAll="0"/>
    <pivotField axis="axisRow" showAll="0">
      <items count="5">
        <item h="1" x="2"/>
        <item x="0"/>
        <item h="1" x="1"/>
        <item h="1" x="3"/>
        <item t="default"/>
      </items>
    </pivotField>
    <pivotField showAll="0"/>
    <pivotField dataField="1" showAll="0"/>
    <pivotField axis="axisRow" showAll="0">
      <items count="13">
        <item x="2"/>
        <item x="1"/>
        <item n="Ene-23" x="3"/>
        <item n="Feb-23" x="4"/>
        <item n="Mar-23" x="5"/>
        <item n="Abr-23" x="6"/>
        <item n="May-23" x="7"/>
        <item n="Ago-23" x="8"/>
        <item n="Set-23" x="9"/>
        <item n="Oct-23" x="10"/>
        <item x="0"/>
        <item m="1" x="11"/>
        <item t="default"/>
      </items>
    </pivotField>
    <pivotField showAll="0"/>
    <pivotField showAll="0"/>
  </pivotFields>
  <rowFields count="2">
    <field x="2"/>
    <field x="5"/>
  </rowFields>
  <rowItems count="11"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Proy.aprobados" fld="4" baseField="2" baseItem="1" numFmtId="44"/>
    <dataField name="Proy.aprobados.acum" fld="4" showDataAs="runTotal" baseField="5" baseItem="0"/>
  </dataFields>
  <formats count="3">
    <format dxfId="43">
      <pivotArea outline="0" collapsedLevelsAreSubtotals="1" fieldPosition="0"/>
    </format>
    <format dxfId="42">
      <pivotArea dataOnly="0" labelOnly="1" outline="0" axis="axisValues" fieldPosition="0"/>
    </format>
    <format dxfId="41">
      <pivotArea field="2" type="button" dataOnly="0" labelOnly="1" outline="0" axis="axisRow" fieldPosition="0"/>
    </format>
  </formats>
  <chartFormats count="10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8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8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8" format="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8" format="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8" format="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8" format="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8" format="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8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365748-A01D-4FF0-9D78-5E0CE072B600}" name="TablaDinámica2" cacheId="152" applyNumberFormats="0" applyBorderFormats="0" applyFontFormats="0" applyPatternFormats="0" applyAlignmentFormats="0" applyWidthHeightFormats="1" dataCaption="Valores" updatedVersion="8" minRefreshableVersion="5" useAutoFormatting="1" itemPrintTitles="1" createdVersion="8" indent="0" outline="1" outlineData="1" multipleFieldFilters="0" chartFormat="16">
  <location ref="E5:F18" firstHeaderRow="1" firstDataRow="1" firstDataCol="1" rowPageCount="1" colPageCount="1"/>
  <pivotFields count="23">
    <pivotField showAll="0"/>
    <pivotField showAll="0">
      <items count="5">
        <item h="1" x="0"/>
        <item x="1"/>
        <item h="1" x="2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4"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Row" numFmtId="17" showAll="0">
      <items count="21">
        <item x="18"/>
        <item x="0"/>
        <item x="1"/>
        <item x="2"/>
        <item x="3"/>
        <item x="4"/>
        <item x="5"/>
        <item x="6"/>
        <item x="7"/>
        <item x="10"/>
        <item x="8"/>
        <item x="9"/>
        <item x="12"/>
        <item x="13"/>
        <item x="11"/>
        <item x="14"/>
        <item x="15"/>
        <item x="16"/>
        <item x="17"/>
        <item x="19"/>
        <item t="default"/>
      </items>
    </pivotField>
    <pivotField showAll="0"/>
  </pivotFields>
  <rowFields count="1">
    <field x="21"/>
  </rowFields>
  <rowItems count="13"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pageFields count="1">
    <pageField fld="15" item="0" hier="-1"/>
  </pageFields>
  <dataFields count="1">
    <dataField name="Suma de Couta S/." fld="14" baseField="0" baseItem="0" numFmtId="44"/>
  </dataFields>
  <formats count="1">
    <format dxfId="34">
      <pivotArea outline="0" collapsedLevelsAreSubtotals="1" fieldPosition="0"/>
    </format>
  </formats>
  <chartFormats count="4">
    <chartFormat chart="13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0">
      <pivotArea type="data" outline="0" fieldPosition="0">
        <references count="2">
          <reference field="4294967294" count="1" selected="0">
            <x v="0"/>
          </reference>
          <reference field="21" count="1" selected="0">
            <x v="14"/>
          </reference>
        </references>
      </pivotArea>
    </chartFormat>
    <chartFormat chart="13" format="2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5"/>
          </reference>
        </references>
      </pivotArea>
    </chartFormat>
    <chartFormat chart="13" format="22">
      <pivotArea type="data" outline="0" fieldPosition="0">
        <references count="2">
          <reference field="4294967294" count="1" selected="0">
            <x v="0"/>
          </reference>
          <reference field="2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dateBetween" evalOrder="-1" id="2" name="Fecha">
      <autoFilter ref="A1">
        <filterColumn colId="0">
          <customFilters and="1">
            <customFilter operator="greaterThanOrEqual" val="44927"/>
            <customFilter operator="lessThanOrEqual" val="45291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098449-41A5-47F0-8493-2CE8ADD27395}" name="TablaDinámica3" cacheId="15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I5:J12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4" showAll="0"/>
    <pivotField numFmtId="10" showAll="0"/>
    <pivotField numFmtId="44" showAll="0"/>
    <pivotField numFmtId="10" showAll="0"/>
    <pivotField showAll="0"/>
    <pivotField showAll="0"/>
    <pivotField axis="axisRow" numFmtId="17" showAll="0">
      <items count="7">
        <item x="0"/>
        <item x="5"/>
        <item x="3"/>
        <item x="1"/>
        <item x="4"/>
        <item x="2"/>
        <item t="default"/>
      </items>
    </pivotField>
    <pivotField showAll="0">
      <items count="4">
        <item x="0"/>
        <item h="1" x="2"/>
        <item h="1" x="1"/>
        <item t="default"/>
      </items>
    </pivotField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x="124"/>
        <item sd="0" x="125"/>
        <item t="default"/>
      </items>
    </pivotField>
  </pivotFields>
  <rowFields count="1">
    <field x="2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Aprobado_x000a_S/." fld="19" baseField="0" baseItem="0" numFmtId="44"/>
  </dataFields>
  <formats count="2">
    <format dxfId="36">
      <pivotArea collapsedLevelsAreSubtotals="1" fieldPosition="0">
        <references count="1">
          <reference field="25" count="1">
            <x v="1"/>
          </reference>
        </references>
      </pivotArea>
    </format>
    <format dxfId="35">
      <pivotArea outline="0" collapsedLevelsAreSubtotals="1" fieldPosition="0"/>
    </format>
  </format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E7D29B-5544-463D-9D70-EC7621F348DA}" name="TablaDinámica1" cacheId="15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5:B9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4" showAll="0"/>
    <pivotField dataField="1" numFmtId="10" showAll="0"/>
    <pivotField numFmtId="44" showAll="0"/>
    <pivotField numFmtId="10" showAll="0"/>
    <pivotField showAll="0"/>
    <pivotField showAll="0"/>
    <pivotField numFmtId="17" showAll="0">
      <items count="7">
        <item x="0"/>
        <item x="5"/>
        <item x="3"/>
        <item x="1"/>
        <item x="4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</pivotFields>
  <rowFields count="1">
    <field x="2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%_x000a_Aprob" fld="20" baseField="0" baseItem="0"/>
  </dataFields>
  <formats count="2">
    <format dxfId="38">
      <pivotArea outline="0" collapsedLevelsAreSubtotals="1" fieldPosition="0"/>
    </format>
    <format dxfId="3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_Proy" xr10:uid="{2970A5A6-0AC0-40B8-83DD-700FE4117BEA}" sourceName="Año Proy">
  <pivotTables>
    <pivotTable tabId="21" name="TablaDinámica2"/>
  </pivotTables>
  <data>
    <tabular pivotCacheId="2011551902">
      <items count="4">
        <i x="0"/>
        <i x="1" s="1"/>
        <i x="2" nd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_Proy1" xr10:uid="{87405B86-F52B-4FE8-9CCA-E2D2BFE4372D}" sourceName="Año Proy">
  <pivotTables>
    <pivotTable tabId="21" name="TablaDinámica3"/>
  </pivotTables>
  <data>
    <tabular pivotCacheId="1109344698">
      <items count="3">
        <i x="0" s="1"/>
        <i x="2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 Proy" xr10:uid="{A45DCB37-3F13-47B4-9D98-3629FB881CFF}" cache="SegmentaciónDeDatos_Año_Proy" caption="Año Proy" rowHeight="241300"/>
  <slicer name="Año Proy 1" xr10:uid="{01B949C5-70D4-4F9A-93BF-385A9A897212}" cache="SegmentaciónDeDatos_Año_Proy1" caption="Año Proy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EDC4C8-8668-4245-A7BA-4945036D6EB9}" name="Tabla1" displayName="Tabla1" ref="B2:AD77" totalsRowShown="0" headerRowDxfId="114" headerRowBorderDxfId="113" tableBorderDxfId="112" totalsRowBorderDxfId="111">
  <autoFilter ref="B2:AD77" xr:uid="{36EDC4C8-8668-4245-A7BA-4945036D6EB9}">
    <filterColumn colId="26">
      <filters>
        <filter val="2023"/>
      </filters>
    </filterColumn>
  </autoFilter>
  <sortState xmlns:xlrd2="http://schemas.microsoft.com/office/spreadsheetml/2017/richdata2" ref="B3:AD77">
    <sortCondition ref="B2:B77"/>
  </sortState>
  <tableColumns count="29">
    <tableColumn id="1" xr3:uid="{F1388E5C-C0EF-4FD0-9642-4775CC2853FE}" name="ID" dataDxfId="110"/>
    <tableColumn id="2" xr3:uid="{70485E8E-5721-446C-89B2-6A1858BCDAAC}" name="Proyecto" dataDxfId="109"/>
    <tableColumn id="3" xr3:uid="{A46624D0-5F1F-4104-9E86-407A5BFCA7D1}" name="Alcance" dataDxfId="108"/>
    <tableColumn id="4" xr3:uid="{5BE50200-23AC-40D6-AEF0-2872B115B72A}" name="Área" dataDxfId="107"/>
    <tableColumn id="5" xr3:uid="{4B5A2DF0-8288-4CFD-8885-C20718392EB8}" name="Sub-Área" dataDxfId="106"/>
    <tableColumn id="6" xr3:uid="{603C5535-87CE-4C31-BE35-20B84E7707BF}" name="Involucradas" dataDxfId="105"/>
    <tableColumn id="7" xr3:uid="{1948AFCD-3105-403A-A427-812D787A7B4F}" name="Tamaño" dataDxfId="104"/>
    <tableColumn id="8" xr3:uid="{12F82C66-7103-4A7E-995C-1E23A1F890A0}" name="Puntaje" dataDxfId="103">
      <calculatedColumnFormula>IF(H3="S",1,IF(H3="M",2,IF(H3="L",4,IF(H3="XL",6,0))))</calculatedColumnFormula>
    </tableColumn>
    <tableColumn id="9" xr3:uid="{9A5D6172-DE3C-4C38-885A-13C216031AC9}" name="Esfuerzo" dataDxfId="102"/>
    <tableColumn id="10" xr3:uid="{6D41583D-911B-4CB2-A622-93D68747C298}" name="Líder" dataDxfId="101"/>
    <tableColumn id="11" xr3:uid="{928A6601-6BB1-4538-8FDF-F498917B8892}" name="P.Manager" dataDxfId="100"/>
    <tableColumn id="12" xr3:uid="{17384075-7C99-42F5-9878-F61F9FA4F4A7}" name="Estado proyecto" dataDxfId="99"/>
    <tableColumn id="13" xr3:uid="{1B852ACA-43FD-4B36-A89B-10D90E5FCDF8}" name="Proveedor principal" dataDxfId="98"/>
    <tableColumn id="14" xr3:uid="{3D3F9D48-ABDE-484A-8BB1-AD5FA245D9BC}" name="SG5" dataDxfId="97"/>
    <tableColumn id="15" xr3:uid="{E4435A2A-8F46-4DE0-8A40-ED699EDDD238}" name="CRM" dataDxfId="96"/>
    <tableColumn id="16" xr3:uid="{3DD52B28-3CB4-4C91-AD1C-C8046B797EB8}" name="Exactus" dataDxfId="95"/>
    <tableColumn id="17" xr3:uid="{AF109611-9393-4AED-A1E5-12F58945B7A0}" name="Web" dataDxfId="94"/>
    <tableColumn id="18" xr3:uid="{E3D52AA0-4C6A-48D6-878B-7B07567C08A4}" name="Otros" dataDxfId="93"/>
    <tableColumn id="19" xr3:uid="{BA5752E7-27F3-4015-A463-A4A33B5EFB7F}" name="Presupuesto_x000a_S/." dataDxfId="92" dataCellStyle="Moneda"/>
    <tableColumn id="25" xr3:uid="{01B30426-5095-486E-AED6-567BBDE49F8D}" name="Aprobado_x000a_S/." dataDxfId="91" dataCellStyle="Moneda">
      <calculatedColumnFormula>SUMIF(Facturas!B:B,Tabla1[[#This Row],[ID]],Facturas!P:P)</calculatedColumnFormula>
    </tableColumn>
    <tableColumn id="26" xr3:uid="{52488F61-8D01-41D9-8973-4C1AE8A91E20}" name="%_x000a_Aprob" dataDxfId="90" dataCellStyle="Porcentaje">
      <calculatedColumnFormula>Tabla1[[#This Row],[Aprobado
S/.]]/SUMIF(AB:AB,Tabla1[[#This Row],[Año Proy]],T:T)</calculatedColumnFormula>
    </tableColumn>
    <tableColumn id="20" xr3:uid="{F576193A-725A-4D32-BD91-DEEFA3FFC790}" name="Ejecutado_x000a_S/." dataDxfId="89" dataCellStyle="Moneda">
      <calculatedColumnFormula>SUMIFS(Facturas!P:P,Facturas!B:B,Tabla1[[#This Row],[ID]],Facturas!T:T,"Cancelado")</calculatedColumnFormula>
    </tableColumn>
    <tableColumn id="27" xr3:uid="{A2C5B8F2-09B3-4532-A7D3-85FD223840BA}" name="%_x000a_Ejec" dataDxfId="88" dataCellStyle="Porcentaje">
      <calculatedColumnFormula>Tabla1[[#This Row],[Ejecutado
S/.]]/SUMIF(AB:AB,Tabla1[[#This Row],[Año Proy]],T:T)</calculatedColumnFormula>
    </tableColumn>
    <tableColumn id="24" xr3:uid="{4DAF422A-1213-43E5-BB3B-F493D7E60E67}" name="Estado presupuesto" dataDxfId="87" dataCellStyle="Moneda">
      <calculatedColumnFormula>IF(Tabla1[[#This Row],[Aprobado
S/.]]&gt;0,"Aprobado","Pendiente")</calculatedColumnFormula>
    </tableColumn>
    <tableColumn id="28" xr3:uid="{378C5573-0603-4009-BCDF-73C603930F8B}" name="Fecha aprobación" dataDxfId="86" dataCellStyle="Moneda"/>
    <tableColumn id="29" xr3:uid="{D626933B-A955-432D-94B4-F70315934879}" name="mm.aa_x000a_fch aprob" dataDxfId="85" dataCellStyle="Moneda">
      <calculatedColumnFormula>Tabla1[[#This Row],[Fecha aprobación]]-DAY(Tabla1[[#This Row],[Fecha aprobación]])+1</calculatedColumnFormula>
    </tableColumn>
    <tableColumn id="21" xr3:uid="{BFB6D4CC-2DE9-4E70-8C68-521DD5778C58}" name="Año Proy" dataDxfId="84"/>
    <tableColumn id="22" xr3:uid="{151ED827-7658-470F-A658-D57781C323E4}" name="Línea de negocio" dataDxfId="83"/>
    <tableColumn id="23" xr3:uid="{612A4DFC-62FC-4226-B1D5-B0695174F145}" name="País" dataDxfId="82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442E48-A89A-40E2-9F39-64959E84B507}" name="Tabla2" displayName="Tabla2" ref="B2:X111" totalsRowShown="0" headerRowDxfId="81" dataDxfId="79" headerRowBorderDxfId="80" tableBorderDxfId="78" totalsRowBorderDxfId="77">
  <autoFilter ref="B2:X111" xr:uid="{C1442E48-A89A-40E2-9F39-64959E84B507}"/>
  <sortState xmlns:xlrd2="http://schemas.microsoft.com/office/spreadsheetml/2017/richdata2" ref="B3:X111">
    <sortCondition ref="D2:D111"/>
  </sortState>
  <tableColumns count="23">
    <tableColumn id="1" xr3:uid="{2D663949-8DB7-4C95-AD05-F7377A217C47}" name="ID" dataDxfId="76"/>
    <tableColumn id="2" xr3:uid="{35129493-972E-4B31-8DCD-3122493E4127}" name="Año Proy" dataDxfId="75"/>
    <tableColumn id="3" xr3:uid="{7F3B0C2E-319C-44CB-B168-C64B8544C448}" name="Fecha" dataDxfId="74"/>
    <tableColumn id="4" xr3:uid="{648B9184-03E9-40C8-8364-145CD0F4DC36}" name="Proveedor" dataDxfId="73"/>
    <tableColumn id="5" xr3:uid="{F3C4ECE7-BB34-444E-8559-C5C8A6BFB96B}" name="Código" dataDxfId="72"/>
    <tableColumn id="6" xr3:uid="{15CF9F15-746F-4822-86F6-243D3082B699}" name="Factura" dataDxfId="71"/>
    <tableColumn id="25" xr3:uid="{D5B12CF5-BC29-4E92-945B-7BDB5752008A}" name="Mes aprob" dataDxfId="70"/>
    <tableColumn id="7" xr3:uid="{4E3A7F90-2B06-4532-A39B-D6654AFD68B0}" name="OS" dataDxfId="69"/>
    <tableColumn id="8" xr3:uid="{D3CFE2BB-F007-444F-8D56-3E7B9799C13F}" name="Proyecto" dataDxfId="68"/>
    <tableColumn id="20" xr3:uid="{95677D9B-101D-4306-9883-7DAC9B8032BE}" name="# Cuota" dataDxfId="67"/>
    <tableColumn id="9" xr3:uid="{E6EB504E-B019-41CA-B20A-41551D01D85C}" name="Detalle cuota" dataDxfId="66"/>
    <tableColumn id="10" xr3:uid="{CEAFC6C7-FF23-41B4-A628-ACF225E79A75}" name="Cuota" dataDxfId="65" dataCellStyle="Moneda"/>
    <tableColumn id="11" xr3:uid="{48E90032-F44B-458D-AD56-D54194CF7E52}" name="Total cuotas" dataDxfId="64" dataCellStyle="Moneda"/>
    <tableColumn id="12" xr3:uid="{16FB9B76-A493-4AED-A7C2-3EDBC36309AB}" name="Moneda" dataDxfId="63" dataCellStyle="Moneda"/>
    <tableColumn id="13" xr3:uid="{D728368B-F9EB-453A-8472-12CE40316217}" name="Couta S/." dataDxfId="62" dataCellStyle="Moneda">
      <calculatedColumnFormula>IF(O3="SOL",M3,M3*$J$1)</calculatedColumnFormula>
    </tableColumn>
    <tableColumn id="14" xr3:uid="{E841B0A6-3481-47F0-B6A5-10AE4BBDBF04}" name="Cuenta" dataDxfId="61"/>
    <tableColumn id="15" xr3:uid="{9676D4CE-C686-416E-BF08-CE0CACE328FB}" name="País" dataDxfId="60"/>
    <tableColumn id="16" xr3:uid="{EE3984FA-8299-4DBC-A90B-5B6CD7FD3877}" name="Área" dataDxfId="59"/>
    <tableColumn id="17" xr3:uid="{4CA033F6-0212-495A-AE2C-A6B177BECC56}" name="Estado" dataDxfId="58"/>
    <tableColumn id="21" xr3:uid="{E4F884D9-FB06-44FB-A17C-CD5A1168899F}" name="F Venc" dataDxfId="57"/>
    <tableColumn id="18" xr3:uid="{4B9DD248-BECD-4116-9044-F537887B08B6}" name="Mes pago" dataDxfId="56">
      <calculatedColumnFormula>IF(T3="Cancelado",MONTH(D3),"")</calculatedColumnFormula>
    </tableColumn>
    <tableColumn id="22" xr3:uid="{2CED41C1-7464-4884-A446-0DC691C19F46}" name="mm.aa" dataDxfId="55">
      <calculatedColumnFormula>Tabla2[[#This Row],[Fecha]]-DAY(Tabla2[[#This Row],[Fecha]])+1</calculatedColumnFormula>
    </tableColumn>
    <tableColumn id="19" xr3:uid="{7C8439AD-001B-46F2-BF94-7A4421C172F9}" name="Sistema" dataDxfId="5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2517CC-DA89-4F86-B0FB-E0CA31DB3DCB}" name="Tabla4" displayName="Tabla4" ref="A1:H126" totalsRowCount="1">
  <autoFilter ref="A1:H125" xr:uid="{C22517CC-DA89-4F86-B0FB-E0CA31DB3DCB}"/>
  <tableColumns count="8">
    <tableColumn id="1" xr3:uid="{7CEF7B76-6699-4B4E-ABB7-5B524A4B5E7E}" name="Llave "/>
    <tableColumn id="2" xr3:uid="{E7672D33-9471-406A-A673-77DCADCBC75A}" name="ID" dataDxfId="53" totalsRowDxfId="52">
      <calculatedColumnFormula>_xlfn.IFNA(+VLOOKUP(Tabla4[[#This Row],[Llave ]],Proyectos!A:AE,2,FALSE),"")</calculatedColumnFormula>
    </tableColumn>
    <tableColumn id="3" xr3:uid="{5CECB0D6-9974-4034-AFA7-3E9C23B885E3}" name="AÑO" dataDxfId="51">
      <calculatedColumnFormula>+_xlfn.IFNA(VLOOKUP(Tabla4[[#This Row],[Llave ]],Proyectos!A3:AH124,28,FALSE),"")</calculatedColumnFormula>
    </tableColumn>
    <tableColumn id="4" xr3:uid="{00B372B6-B696-47E2-85E7-5066BF32B47B}" name="Presupuesto" totalsRowFunction="custom" totalsRowDxfId="50" dataCellStyle="Moneda">
      <calculatedColumnFormula>+VLOOKUP(Tabla4[[#This Row],[Llave ]],Proyectos!A:AD,20,FALSE)</calculatedColumnFormula>
      <totalsRowFormula>+SUBTOTAL(9,D2:D125)</totalsRowFormula>
    </tableColumn>
    <tableColumn id="5" xr3:uid="{CA9D39E4-5F72-4BDE-9A3A-F5DE3F86DFE8}" name="Aprobado" totalsRowFunction="custom" dataDxfId="49" totalsRowDxfId="48">
      <totalsRowFormula>+SUBTOTAL(9,E2:E125)</totalsRowFormula>
    </tableColumn>
    <tableColumn id="6" xr3:uid="{E87B6D89-6A21-4211-9519-71D5EA6C0E7F}" name="Fecha aprobada" dataDxfId="47" totalsRowDxfId="46"/>
    <tableColumn id="7" xr3:uid="{0CD5A64F-4A4D-43BA-B1E6-36FDE141D06B}" name="Ejecutado" totalsRowFunction="custom" dataDxfId="45" totalsRowDxfId="44">
      <totalsRowFormula>+SUBTOTAL(9,G2:G125)</totalsRowFormula>
    </tableColumn>
    <tableColumn id="8" xr3:uid="{83393C3D-D1F9-4CA7-B051-CFA67C27C79E}" name="Fecha ejecutad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F2E2D2-F470-45A5-9AF0-DB911A2D4A96}" name="Tabla3" displayName="Tabla3" ref="B1:I9" totalsRowShown="0" headerRowDxfId="33" headerRowBorderDxfId="32" tableBorderDxfId="31">
  <autoFilter ref="B1:I9" xr:uid="{E5F2E2D2-F470-45A5-9AF0-DB911A2D4A96}">
    <filterColumn colId="0">
      <filters>
        <filter val="Kunaq &amp; Asociados S.A.C"/>
      </filters>
    </filterColumn>
  </autoFilter>
  <tableColumns count="8">
    <tableColumn id="1" xr3:uid="{B4CEEBFB-BACB-431F-A69C-CBB6879B3AFC}" name="Proveedor" dataDxfId="30"/>
    <tableColumn id="2" xr3:uid="{5B6B9E3D-40C8-4CA8-8A5F-B3E6EAA17244}" name="RUC" dataDxfId="29"/>
    <tableColumn id="3" xr3:uid="{FCD4B180-3208-4A64-A424-29BF1F114BE8}" name="N° Factura" dataDxfId="28"/>
    <tableColumn id="8" xr3:uid="{7116FB72-5C80-4655-BBF4-E40E378444AA}" name="Proyecto" dataDxfId="27"/>
    <tableColumn id="4" xr3:uid="{1AA077B7-658D-4E45-9F60-270AE78850F4}" name="Monto sin IGV" dataDxfId="26" dataCellStyle="Moneda"/>
    <tableColumn id="5" xr3:uid="{B411150E-203D-43CB-9173-241777704956}" name="F. Emisión" dataDxfId="25"/>
    <tableColumn id="6" xr3:uid="{2D68A2C7-96F0-4E71-93F7-B59114079D0C}" name="F. Vencimiento" dataDxfId="24"/>
    <tableColumn id="7" xr3:uid="{5D44751D-BFEB-4D29-93A9-4CB67006F57E}" name="Est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9075-1CC5-452A-B76D-5474E4C6D25B}">
  <sheetPr>
    <tabColor rgb="FF92D050"/>
  </sheetPr>
  <dimension ref="A1:AE81"/>
  <sheetViews>
    <sheetView showGridLines="0" zoomScale="88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" sqref="B3:C22"/>
    </sheetView>
  </sheetViews>
  <sheetFormatPr baseColWidth="10" defaultColWidth="11.44140625" defaultRowHeight="14.4" x14ac:dyDescent="0.3"/>
  <cols>
    <col min="1" max="1" width="5.6640625" style="13" bestFit="1" customWidth="1"/>
    <col min="2" max="2" width="9.5546875" style="24" customWidth="1"/>
    <col min="3" max="3" width="41.5546875" style="6" customWidth="1"/>
    <col min="4" max="4" width="18.5546875" style="5" customWidth="1"/>
    <col min="5" max="6" width="12.109375" style="13" customWidth="1"/>
    <col min="7" max="7" width="15.88671875" style="13" bestFit="1" customWidth="1"/>
    <col min="8" max="10" width="3.5546875" style="13" customWidth="1"/>
    <col min="11" max="11" width="9.5546875" style="13" customWidth="1"/>
    <col min="12" max="12" width="8.5546875" style="13" customWidth="1"/>
    <col min="13" max="13" width="11.44140625" style="13" bestFit="1" customWidth="1"/>
    <col min="14" max="14" width="11.33203125" style="13" customWidth="1"/>
    <col min="15" max="19" width="3.5546875" style="13" customWidth="1"/>
    <col min="20" max="21" width="14.109375" style="5" customWidth="1"/>
    <col min="22" max="22" width="7.88671875" style="101" customWidth="1"/>
    <col min="23" max="23" width="14.109375" style="5" customWidth="1"/>
    <col min="24" max="24" width="7.88671875" style="101" customWidth="1"/>
    <col min="25" max="25" width="12.109375" style="5" customWidth="1"/>
    <col min="26" max="27" width="8.109375" style="13" customWidth="1"/>
    <col min="28" max="28" width="7.5546875" style="5" customWidth="1"/>
    <col min="29" max="29" width="12.44140625" style="5" customWidth="1"/>
    <col min="30" max="30" width="8.88671875" style="13" customWidth="1"/>
    <col min="31" max="50" width="11.44140625" style="5" customWidth="1"/>
    <col min="51" max="16384" width="11.44140625" style="5"/>
  </cols>
  <sheetData>
    <row r="1" spans="1:31" x14ac:dyDescent="0.3">
      <c r="C1" s="24"/>
      <c r="E1" s="187" t="s">
        <v>104</v>
      </c>
      <c r="F1" s="187"/>
      <c r="G1" s="187"/>
      <c r="H1" s="187" t="s">
        <v>144</v>
      </c>
      <c r="I1" s="187"/>
      <c r="J1" s="187"/>
      <c r="O1" s="188" t="s">
        <v>116</v>
      </c>
      <c r="P1" s="188"/>
      <c r="Q1" s="188"/>
      <c r="R1" s="188"/>
      <c r="S1" s="188"/>
      <c r="T1" s="13"/>
      <c r="U1" s="13"/>
      <c r="AB1" s="13"/>
      <c r="AC1" s="13"/>
    </row>
    <row r="2" spans="1:31" ht="43.2" x14ac:dyDescent="0.3">
      <c r="A2" s="13" t="s">
        <v>686</v>
      </c>
      <c r="B2" s="79" t="s">
        <v>521</v>
      </c>
      <c r="C2" s="80" t="s">
        <v>62</v>
      </c>
      <c r="D2" s="80" t="s">
        <v>263</v>
      </c>
      <c r="E2" s="80" t="s">
        <v>363</v>
      </c>
      <c r="F2" s="80" t="s">
        <v>364</v>
      </c>
      <c r="G2" s="80" t="s">
        <v>520</v>
      </c>
      <c r="H2" s="81" t="s">
        <v>137</v>
      </c>
      <c r="I2" s="128" t="s">
        <v>143</v>
      </c>
      <c r="J2" s="81" t="s">
        <v>156</v>
      </c>
      <c r="K2" s="80" t="s">
        <v>517</v>
      </c>
      <c r="L2" s="80" t="s">
        <v>51</v>
      </c>
      <c r="M2" s="80" t="s">
        <v>518</v>
      </c>
      <c r="N2" s="80" t="s">
        <v>367</v>
      </c>
      <c r="O2" s="82" t="s">
        <v>82</v>
      </c>
      <c r="P2" s="82" t="s">
        <v>76</v>
      </c>
      <c r="Q2" s="82" t="s">
        <v>154</v>
      </c>
      <c r="R2" s="82" t="s">
        <v>130</v>
      </c>
      <c r="S2" s="82" t="s">
        <v>117</v>
      </c>
      <c r="T2" s="80" t="s">
        <v>533</v>
      </c>
      <c r="U2" s="126" t="s">
        <v>534</v>
      </c>
      <c r="V2" s="127" t="s">
        <v>538</v>
      </c>
      <c r="W2" s="126" t="s">
        <v>535</v>
      </c>
      <c r="X2" s="127" t="s">
        <v>539</v>
      </c>
      <c r="Y2" s="126" t="s">
        <v>519</v>
      </c>
      <c r="Z2" s="80" t="s">
        <v>560</v>
      </c>
      <c r="AA2" s="130" t="s">
        <v>564</v>
      </c>
      <c r="AB2" s="80" t="s">
        <v>369</v>
      </c>
      <c r="AC2" s="80" t="s">
        <v>516</v>
      </c>
      <c r="AD2" s="96" t="s">
        <v>244</v>
      </c>
    </row>
    <row r="3" spans="1:31" x14ac:dyDescent="0.3">
      <c r="A3" s="13">
        <v>1</v>
      </c>
      <c r="B3" s="77" t="s">
        <v>336</v>
      </c>
      <c r="C3" s="4" t="s">
        <v>357</v>
      </c>
      <c r="D3" s="3"/>
      <c r="E3" s="15" t="s">
        <v>21</v>
      </c>
      <c r="F3" s="15" t="s">
        <v>21</v>
      </c>
      <c r="G3" s="15"/>
      <c r="H3" s="15" t="s">
        <v>515</v>
      </c>
      <c r="I3" s="15">
        <f t="shared" ref="I3:I34" si="0">IF(H3="S",1,IF(H3="M",2,IF(H3="L",4,IF(H3="XL",6,0))))</f>
        <v>6</v>
      </c>
      <c r="J3" s="15">
        <v>6</v>
      </c>
      <c r="K3" s="15" t="s">
        <v>513</v>
      </c>
      <c r="L3" s="15" t="s">
        <v>69</v>
      </c>
      <c r="M3" s="15" t="s">
        <v>316</v>
      </c>
      <c r="N3" s="15" t="s">
        <v>368</v>
      </c>
      <c r="O3" s="16" t="s">
        <v>115</v>
      </c>
      <c r="P3" s="16"/>
      <c r="Q3" s="16"/>
      <c r="R3" s="16"/>
      <c r="S3" s="16"/>
      <c r="T3" s="7">
        <v>23000</v>
      </c>
      <c r="U3" s="7">
        <f>SUMIF(Facturas!B:B,Tabla1[[#This Row],[ID]],Facturas!P:P)</f>
        <v>0</v>
      </c>
      <c r="V3" s="102">
        <f>Tabla1[[#This Row],[Aprobado
S/.]]/SUMIF(AB:AB,Tabla1[[#This Row],[Año Proy]],T:T)</f>
        <v>0</v>
      </c>
      <c r="W3" s="7">
        <f>SUMIFS(Facturas!P:P,Facturas!B:B,Tabla1[[#This Row],[ID]],Facturas!T:T,"Cancelado")</f>
        <v>0</v>
      </c>
      <c r="X3" s="102">
        <f>Tabla1[[#This Row],[Ejecutado
S/.]]/SUMIF(AB:AB,Tabla1[[#This Row],[Año Proy]],T:T)</f>
        <v>0</v>
      </c>
      <c r="Y3" s="7" t="str">
        <f>IF(Tabla1[[#This Row],[Aprobado
S/.]]&gt;0,"Aprobado","Pendiente")</f>
        <v>Pendiente</v>
      </c>
      <c r="Z3" s="120"/>
      <c r="AA3" s="120">
        <f>Tabla1[[#This Row],[Fecha aprobación]]-DAY(Tabla1[[#This Row],[Fecha aprobación]])+1</f>
        <v>1</v>
      </c>
      <c r="AB3" s="28">
        <v>2023</v>
      </c>
      <c r="AC3" s="28" t="s">
        <v>370</v>
      </c>
      <c r="AD3" s="78" t="s">
        <v>238</v>
      </c>
    </row>
    <row r="4" spans="1:31" x14ac:dyDescent="0.3">
      <c r="A4" s="13">
        <v>2</v>
      </c>
      <c r="B4" s="77" t="s">
        <v>337</v>
      </c>
      <c r="C4" s="4" t="s">
        <v>514</v>
      </c>
      <c r="D4" s="3"/>
      <c r="E4" s="15" t="s">
        <v>21</v>
      </c>
      <c r="F4" s="15" t="s">
        <v>21</v>
      </c>
      <c r="G4" s="15"/>
      <c r="H4" s="15" t="s">
        <v>139</v>
      </c>
      <c r="I4" s="15">
        <f t="shared" si="0"/>
        <v>4</v>
      </c>
      <c r="J4" s="15">
        <v>4</v>
      </c>
      <c r="K4" s="15" t="s">
        <v>513</v>
      </c>
      <c r="L4" s="15" t="s">
        <v>69</v>
      </c>
      <c r="M4" s="15" t="s">
        <v>316</v>
      </c>
      <c r="N4" s="15" t="s">
        <v>368</v>
      </c>
      <c r="O4" s="16" t="s">
        <v>115</v>
      </c>
      <c r="P4" s="16"/>
      <c r="Q4" s="16"/>
      <c r="R4" s="16" t="s">
        <v>115</v>
      </c>
      <c r="S4" s="16"/>
      <c r="T4" s="7">
        <v>29000</v>
      </c>
      <c r="U4" s="7">
        <f>SUMIF(Facturas!B:B,Tabla1[[#This Row],[ID]],Facturas!P:P)</f>
        <v>46100</v>
      </c>
      <c r="V4" s="102">
        <f>Tabla1[[#This Row],[Aprobado
S/.]]/SUMIF(AB:AB,Tabla1[[#This Row],[Año Proy]],T:T)</f>
        <v>0.18007812500000001</v>
      </c>
      <c r="W4" s="7">
        <f>SUMIFS(Facturas!P:P,Facturas!B:B,Tabla1[[#This Row],[ID]],Facturas!T:T,"Cancelado")</f>
        <v>38155</v>
      </c>
      <c r="X4" s="102">
        <f>Tabla1[[#This Row],[Ejecutado
S/.]]/SUMIF(AB:AB,Tabla1[[#This Row],[Año Proy]],T:T)</f>
        <v>0.14904296875</v>
      </c>
      <c r="Y4" s="7" t="str">
        <f>IF(Tabla1[[#This Row],[Aprobado
S/.]]&gt;0,"Aprobado","Pendiente")</f>
        <v>Aprobado</v>
      </c>
      <c r="Z4" s="124">
        <v>44995</v>
      </c>
      <c r="AA4" s="124">
        <f>Tabla1[[#This Row],[Fecha aprobación]]-DAY(Tabla1[[#This Row],[Fecha aprobación]])+1</f>
        <v>44986</v>
      </c>
      <c r="AB4" s="28">
        <v>2023</v>
      </c>
      <c r="AC4" s="28" t="s">
        <v>370</v>
      </c>
      <c r="AD4" s="78" t="s">
        <v>238</v>
      </c>
    </row>
    <row r="5" spans="1:31" x14ac:dyDescent="0.3">
      <c r="A5" s="13">
        <v>3</v>
      </c>
      <c r="B5" s="77" t="s">
        <v>338</v>
      </c>
      <c r="C5" s="4" t="s">
        <v>335</v>
      </c>
      <c r="D5" s="3"/>
      <c r="E5" s="15" t="s">
        <v>21</v>
      </c>
      <c r="F5" s="15" t="s">
        <v>21</v>
      </c>
      <c r="G5" s="15"/>
      <c r="H5" s="15" t="s">
        <v>138</v>
      </c>
      <c r="I5" s="15">
        <f t="shared" si="0"/>
        <v>2</v>
      </c>
      <c r="J5" s="15">
        <v>2</v>
      </c>
      <c r="K5" s="15" t="s">
        <v>513</v>
      </c>
      <c r="L5" s="15" t="s">
        <v>69</v>
      </c>
      <c r="M5" s="15" t="s">
        <v>314</v>
      </c>
      <c r="N5" s="15" t="s">
        <v>368</v>
      </c>
      <c r="O5" s="16" t="s">
        <v>115</v>
      </c>
      <c r="P5" s="16"/>
      <c r="Q5" s="16"/>
      <c r="R5" s="16"/>
      <c r="S5" s="16"/>
      <c r="T5" s="7">
        <v>6000</v>
      </c>
      <c r="U5" s="7">
        <f>SUMIF(Facturas!B:B,Tabla1[[#This Row],[ID]],Facturas!P:P)</f>
        <v>6200</v>
      </c>
      <c r="V5" s="102">
        <f>Tabla1[[#This Row],[Aprobado
S/.]]/SUMIF(AB:AB,Tabla1[[#This Row],[Año Proy]],T:T)</f>
        <v>2.4218750000000001E-2</v>
      </c>
      <c r="W5" s="7">
        <f>SUMIFS(Facturas!P:P,Facturas!B:B,Tabla1[[#This Row],[ID]],Facturas!T:T,"Cancelado")</f>
        <v>3400</v>
      </c>
      <c r="X5" s="102">
        <f>Tabla1[[#This Row],[Ejecutado
S/.]]/SUMIF(AB:AB,Tabla1[[#This Row],[Año Proy]],T:T)</f>
        <v>1.328125E-2</v>
      </c>
      <c r="Y5" s="7" t="str">
        <f>IF(Tabla1[[#This Row],[Aprobado
S/.]]&gt;0,"Aprobado","Pendiente")</f>
        <v>Aprobado</v>
      </c>
      <c r="Z5" s="124">
        <v>45065</v>
      </c>
      <c r="AA5" s="124">
        <f>Tabla1[[#This Row],[Fecha aprobación]]-DAY(Tabla1[[#This Row],[Fecha aprobación]])+1</f>
        <v>45047</v>
      </c>
      <c r="AB5" s="28">
        <v>2023</v>
      </c>
      <c r="AC5" s="28" t="s">
        <v>370</v>
      </c>
      <c r="AD5" s="78" t="s">
        <v>238</v>
      </c>
    </row>
    <row r="6" spans="1:31" x14ac:dyDescent="0.3">
      <c r="A6" s="13">
        <v>4</v>
      </c>
      <c r="B6" s="77" t="s">
        <v>339</v>
      </c>
      <c r="C6" s="4" t="s">
        <v>334</v>
      </c>
      <c r="D6" s="3"/>
      <c r="E6" s="15" t="s">
        <v>21</v>
      </c>
      <c r="F6" s="15" t="s">
        <v>21</v>
      </c>
      <c r="G6" s="15"/>
      <c r="H6" s="15" t="s">
        <v>138</v>
      </c>
      <c r="I6" s="15">
        <f t="shared" si="0"/>
        <v>2</v>
      </c>
      <c r="J6" s="15">
        <v>2</v>
      </c>
      <c r="K6" s="15" t="s">
        <v>513</v>
      </c>
      <c r="L6" s="15" t="s">
        <v>69</v>
      </c>
      <c r="M6" s="15" t="s">
        <v>314</v>
      </c>
      <c r="N6" s="15" t="s">
        <v>368</v>
      </c>
      <c r="O6" s="16" t="s">
        <v>115</v>
      </c>
      <c r="P6" s="16"/>
      <c r="Q6" s="16"/>
      <c r="R6" s="16"/>
      <c r="S6" s="16"/>
      <c r="T6" s="7">
        <v>2000</v>
      </c>
      <c r="U6" s="7">
        <f>SUMIF(Facturas!B:B,Tabla1[[#This Row],[ID]],Facturas!P:P)</f>
        <v>11080</v>
      </c>
      <c r="V6" s="102">
        <f>Tabla1[[#This Row],[Aprobado
S/.]]/SUMIF(AB:AB,Tabla1[[#This Row],[Año Proy]],T:T)</f>
        <v>4.328125E-2</v>
      </c>
      <c r="W6" s="7">
        <f>SUMIFS(Facturas!P:P,Facturas!B:B,Tabla1[[#This Row],[ID]],Facturas!T:T,"Cancelado")</f>
        <v>6440</v>
      </c>
      <c r="X6" s="102">
        <f>Tabla1[[#This Row],[Ejecutado
S/.]]/SUMIF(AB:AB,Tabla1[[#This Row],[Año Proy]],T:T)</f>
        <v>2.5156250000000002E-2</v>
      </c>
      <c r="Y6" s="7" t="str">
        <f>IF(Tabla1[[#This Row],[Aprobado
S/.]]&gt;0,"Aprobado","Pendiente")</f>
        <v>Aprobado</v>
      </c>
      <c r="Z6" s="124">
        <v>45065</v>
      </c>
      <c r="AA6" s="124">
        <f>Tabla1[[#This Row],[Fecha aprobación]]-DAY(Tabla1[[#This Row],[Fecha aprobación]])+1</f>
        <v>45047</v>
      </c>
      <c r="AB6" s="28">
        <v>2023</v>
      </c>
      <c r="AC6" s="28" t="s">
        <v>370</v>
      </c>
      <c r="AD6" s="78" t="s">
        <v>238</v>
      </c>
    </row>
    <row r="7" spans="1:31" x14ac:dyDescent="0.3">
      <c r="A7" s="13">
        <v>5</v>
      </c>
      <c r="B7" s="77" t="s">
        <v>340</v>
      </c>
      <c r="C7" s="4" t="s">
        <v>131</v>
      </c>
      <c r="D7" s="3"/>
      <c r="E7" s="15" t="s">
        <v>110</v>
      </c>
      <c r="F7" s="15" t="s">
        <v>13</v>
      </c>
      <c r="G7" s="15"/>
      <c r="H7" s="15" t="s">
        <v>138</v>
      </c>
      <c r="I7" s="15">
        <f t="shared" si="0"/>
        <v>2</v>
      </c>
      <c r="J7" s="15">
        <v>1</v>
      </c>
      <c r="K7" s="15" t="s">
        <v>372</v>
      </c>
      <c r="L7" s="15" t="s">
        <v>372</v>
      </c>
      <c r="M7" s="15" t="s">
        <v>316</v>
      </c>
      <c r="N7" s="15" t="s">
        <v>368</v>
      </c>
      <c r="O7" s="16" t="s">
        <v>115</v>
      </c>
      <c r="P7" s="16"/>
      <c r="Q7" s="16" t="s">
        <v>115</v>
      </c>
      <c r="R7" s="16"/>
      <c r="S7" s="16"/>
      <c r="T7" s="7">
        <v>20000</v>
      </c>
      <c r="U7" s="7">
        <f>SUMIF(Facturas!B:B,Tabla1[[#This Row],[ID]],Facturas!P:P)</f>
        <v>14300</v>
      </c>
      <c r="V7" s="102">
        <f>Tabla1[[#This Row],[Aprobado
S/.]]/SUMIF(AB:AB,Tabla1[[#This Row],[Año Proy]],T:T)</f>
        <v>5.5859375000000003E-2</v>
      </c>
      <c r="W7" s="7">
        <f>SUMIFS(Facturas!P:P,Facturas!B:B,Tabla1[[#This Row],[ID]],Facturas!T:T,"Cancelado")</f>
        <v>0</v>
      </c>
      <c r="X7" s="102">
        <f>Tabla1[[#This Row],[Ejecutado
S/.]]/SUMIF(AB:AB,Tabla1[[#This Row],[Año Proy]],T:T)</f>
        <v>0</v>
      </c>
      <c r="Y7" s="7" t="str">
        <f>IF(Tabla1[[#This Row],[Aprobado
S/.]]&gt;0,"Aprobado","Pendiente")</f>
        <v>Aprobado</v>
      </c>
      <c r="Z7" s="124">
        <v>45229</v>
      </c>
      <c r="AA7" s="124">
        <f>Tabla1[[#This Row],[Fecha aprobación]]-DAY(Tabla1[[#This Row],[Fecha aprobación]])+1</f>
        <v>45200</v>
      </c>
      <c r="AB7" s="28">
        <v>2023</v>
      </c>
      <c r="AC7" s="28" t="s">
        <v>370</v>
      </c>
      <c r="AD7" s="78" t="s">
        <v>238</v>
      </c>
    </row>
    <row r="8" spans="1:31" x14ac:dyDescent="0.3">
      <c r="A8" s="13">
        <v>6</v>
      </c>
      <c r="B8" s="77" t="s">
        <v>341</v>
      </c>
      <c r="C8" s="4" t="s">
        <v>358</v>
      </c>
      <c r="D8" s="3" t="s">
        <v>581</v>
      </c>
      <c r="E8" s="15" t="s">
        <v>243</v>
      </c>
      <c r="F8" s="15" t="s">
        <v>19</v>
      </c>
      <c r="G8" s="15"/>
      <c r="H8" s="15" t="s">
        <v>138</v>
      </c>
      <c r="I8" s="15">
        <f t="shared" si="0"/>
        <v>2</v>
      </c>
      <c r="J8" s="15">
        <v>2</v>
      </c>
      <c r="K8" s="15" t="s">
        <v>373</v>
      </c>
      <c r="L8" s="15" t="s">
        <v>69</v>
      </c>
      <c r="M8" s="15" t="s">
        <v>316</v>
      </c>
      <c r="N8" s="15" t="s">
        <v>368</v>
      </c>
      <c r="O8" s="16" t="s">
        <v>115</v>
      </c>
      <c r="P8" s="16"/>
      <c r="Q8" s="16"/>
      <c r="R8" s="16" t="s">
        <v>115</v>
      </c>
      <c r="S8" s="16"/>
      <c r="T8" s="7">
        <v>22500</v>
      </c>
      <c r="U8" s="7">
        <f>SUMIF(Facturas!B:B,Tabla1[[#This Row],[ID]],Facturas!P:P)</f>
        <v>0</v>
      </c>
      <c r="V8" s="102">
        <f>Tabla1[[#This Row],[Aprobado
S/.]]/SUMIF(AB:AB,Tabla1[[#This Row],[Año Proy]],T:T)</f>
        <v>0</v>
      </c>
      <c r="W8" s="7">
        <f>SUMIFS(Facturas!P:P,Facturas!B:B,Tabla1[[#This Row],[ID]],Facturas!T:T,"Cancelado")</f>
        <v>0</v>
      </c>
      <c r="X8" s="102">
        <f>Tabla1[[#This Row],[Ejecutado
S/.]]/SUMIF(AB:AB,Tabla1[[#This Row],[Año Proy]],T:T)</f>
        <v>0</v>
      </c>
      <c r="Y8" s="7" t="str">
        <f>IF(Tabla1[[#This Row],[Aprobado
S/.]]&gt;0,"Aprobado","Pendiente")</f>
        <v>Pendiente</v>
      </c>
      <c r="Z8" s="124"/>
      <c r="AA8" s="124">
        <f>Tabla1[[#This Row],[Fecha aprobación]]-DAY(Tabla1[[#This Row],[Fecha aprobación]])+1</f>
        <v>1</v>
      </c>
      <c r="AB8" s="28">
        <v>2023</v>
      </c>
      <c r="AC8" s="28" t="s">
        <v>370</v>
      </c>
      <c r="AD8" s="78" t="s">
        <v>238</v>
      </c>
      <c r="AE8" s="174"/>
    </row>
    <row r="9" spans="1:31" x14ac:dyDescent="0.3">
      <c r="A9" s="13">
        <v>7</v>
      </c>
      <c r="B9" s="77" t="s">
        <v>342</v>
      </c>
      <c r="C9" s="4" t="s">
        <v>359</v>
      </c>
      <c r="D9" s="3" t="s">
        <v>580</v>
      </c>
      <c r="E9" s="15" t="s">
        <v>365</v>
      </c>
      <c r="F9" s="15" t="s">
        <v>14</v>
      </c>
      <c r="G9" s="15"/>
      <c r="H9" s="15" t="s">
        <v>139</v>
      </c>
      <c r="I9" s="15">
        <f t="shared" si="0"/>
        <v>4</v>
      </c>
      <c r="J9" s="15">
        <v>4</v>
      </c>
      <c r="K9" s="15" t="s">
        <v>112</v>
      </c>
      <c r="L9" s="15" t="s">
        <v>69</v>
      </c>
      <c r="M9" s="15" t="s">
        <v>316</v>
      </c>
      <c r="N9" s="15" t="s">
        <v>368</v>
      </c>
      <c r="O9" s="16" t="s">
        <v>115</v>
      </c>
      <c r="P9" s="16"/>
      <c r="Q9" s="16"/>
      <c r="R9" s="16" t="s">
        <v>115</v>
      </c>
      <c r="S9" s="16"/>
      <c r="T9" s="7">
        <v>22500</v>
      </c>
      <c r="U9" s="7">
        <f>SUMIF(Facturas!B:B,Tabla1[[#This Row],[ID]],Facturas!P:P)</f>
        <v>24400</v>
      </c>
      <c r="V9" s="102">
        <f>Tabla1[[#This Row],[Aprobado
S/.]]/SUMIF(AB:AB,Tabla1[[#This Row],[Año Proy]],T:T)</f>
        <v>9.5312499999999994E-2</v>
      </c>
      <c r="W9" s="7">
        <f>SUMIFS(Facturas!P:P,Facturas!B:B,Tabla1[[#This Row],[ID]],Facturas!T:T,"Cancelado")</f>
        <v>4810</v>
      </c>
      <c r="X9" s="102">
        <f>Tabla1[[#This Row],[Ejecutado
S/.]]/SUMIF(AB:AB,Tabla1[[#This Row],[Año Proy]],T:T)</f>
        <v>1.8789062499999998E-2</v>
      </c>
      <c r="Y9" s="7" t="str">
        <f>IF(Tabla1[[#This Row],[Aprobado
S/.]]&gt;0,"Aprobado","Pendiente")</f>
        <v>Aprobado</v>
      </c>
      <c r="Z9" s="124"/>
      <c r="AA9" s="124">
        <f>Tabla1[[#This Row],[Fecha aprobación]]-DAY(Tabla1[[#This Row],[Fecha aprobación]])+1</f>
        <v>1</v>
      </c>
      <c r="AB9" s="28">
        <v>2023</v>
      </c>
      <c r="AC9" s="28" t="s">
        <v>370</v>
      </c>
      <c r="AD9" s="78" t="s">
        <v>238</v>
      </c>
    </row>
    <row r="10" spans="1:31" x14ac:dyDescent="0.3">
      <c r="A10" s="13">
        <v>8</v>
      </c>
      <c r="B10" s="77" t="s">
        <v>343</v>
      </c>
      <c r="C10" s="4" t="s">
        <v>360</v>
      </c>
      <c r="D10" s="3"/>
      <c r="E10" s="15" t="s">
        <v>110</v>
      </c>
      <c r="F10" s="15" t="s">
        <v>13</v>
      </c>
      <c r="G10" s="15"/>
      <c r="H10" s="15" t="s">
        <v>140</v>
      </c>
      <c r="I10" s="15">
        <f t="shared" si="0"/>
        <v>1</v>
      </c>
      <c r="J10" s="15">
        <v>0</v>
      </c>
      <c r="K10" s="15" t="s">
        <v>372</v>
      </c>
      <c r="L10" s="15" t="s">
        <v>69</v>
      </c>
      <c r="M10" s="15" t="s">
        <v>314</v>
      </c>
      <c r="N10" s="15" t="s">
        <v>368</v>
      </c>
      <c r="O10" s="16"/>
      <c r="P10" s="16"/>
      <c r="Q10" s="16" t="s">
        <v>115</v>
      </c>
      <c r="R10" s="16"/>
      <c r="S10" s="16"/>
      <c r="T10" s="7">
        <v>4000</v>
      </c>
      <c r="U10" s="7">
        <f>SUMIF(Facturas!B:B,Tabla1[[#This Row],[ID]],Facturas!P:P)</f>
        <v>0</v>
      </c>
      <c r="V10" s="102">
        <f>Tabla1[[#This Row],[Aprobado
S/.]]/SUMIF(AB:AB,Tabla1[[#This Row],[Año Proy]],T:T)</f>
        <v>0</v>
      </c>
      <c r="W10" s="7">
        <f>SUMIFS(Facturas!P:P,Facturas!B:B,Tabla1[[#This Row],[ID]],Facturas!T:T,"Cancelado")</f>
        <v>0</v>
      </c>
      <c r="X10" s="102">
        <f>Tabla1[[#This Row],[Ejecutado
S/.]]/SUMIF(AB:AB,Tabla1[[#This Row],[Año Proy]],T:T)</f>
        <v>0</v>
      </c>
      <c r="Y10" s="7" t="str">
        <f>IF(Tabla1[[#This Row],[Aprobado
S/.]]&gt;0,"Aprobado","Pendiente")</f>
        <v>Pendiente</v>
      </c>
      <c r="Z10" s="124"/>
      <c r="AA10" s="124">
        <f>Tabla1[[#This Row],[Fecha aprobación]]-DAY(Tabla1[[#This Row],[Fecha aprobación]])+1</f>
        <v>1</v>
      </c>
      <c r="AB10" s="28">
        <v>2023</v>
      </c>
      <c r="AC10" s="28" t="s">
        <v>370</v>
      </c>
      <c r="AD10" s="78" t="s">
        <v>238</v>
      </c>
    </row>
    <row r="11" spans="1:31" x14ac:dyDescent="0.3">
      <c r="A11" s="13">
        <v>9</v>
      </c>
      <c r="B11" s="77" t="s">
        <v>344</v>
      </c>
      <c r="C11" s="4" t="s">
        <v>361</v>
      </c>
      <c r="D11" s="3" t="s">
        <v>88</v>
      </c>
      <c r="E11" s="15" t="s">
        <v>243</v>
      </c>
      <c r="F11" s="15" t="s">
        <v>19</v>
      </c>
      <c r="G11" s="15"/>
      <c r="H11" s="15" t="s">
        <v>138</v>
      </c>
      <c r="I11" s="15">
        <f t="shared" si="0"/>
        <v>2</v>
      </c>
      <c r="J11" s="15">
        <v>1</v>
      </c>
      <c r="K11" s="15" t="s">
        <v>373</v>
      </c>
      <c r="L11" s="15" t="s">
        <v>373</v>
      </c>
      <c r="M11" s="15" t="s">
        <v>314</v>
      </c>
      <c r="N11" s="15" t="s">
        <v>368</v>
      </c>
      <c r="O11" s="16" t="s">
        <v>115</v>
      </c>
      <c r="P11" s="16"/>
      <c r="Q11" s="16"/>
      <c r="R11" s="16" t="s">
        <v>115</v>
      </c>
      <c r="S11" s="16"/>
      <c r="T11" s="7">
        <v>20000</v>
      </c>
      <c r="U11" s="7">
        <f>SUMIF(Facturas!B:B,Tabla1[[#This Row],[ID]],Facturas!P:P)</f>
        <v>0</v>
      </c>
      <c r="V11" s="102">
        <f>Tabla1[[#This Row],[Aprobado
S/.]]/SUMIF(AB:AB,Tabla1[[#This Row],[Año Proy]],T:T)</f>
        <v>0</v>
      </c>
      <c r="W11" s="7">
        <f>SUMIFS(Facturas!P:P,Facturas!B:B,Tabla1[[#This Row],[ID]],Facturas!T:T,"Cancelado")</f>
        <v>0</v>
      </c>
      <c r="X11" s="102">
        <f>Tabla1[[#This Row],[Ejecutado
S/.]]/SUMIF(AB:AB,Tabla1[[#This Row],[Año Proy]],T:T)</f>
        <v>0</v>
      </c>
      <c r="Y11" s="7" t="str">
        <f>IF(Tabla1[[#This Row],[Aprobado
S/.]]&gt;0,"Aprobado","Pendiente")</f>
        <v>Pendiente</v>
      </c>
      <c r="Z11" s="124"/>
      <c r="AA11" s="124">
        <f>Tabla1[[#This Row],[Fecha aprobación]]-DAY(Tabla1[[#This Row],[Fecha aprobación]])+1</f>
        <v>1</v>
      </c>
      <c r="AB11" s="28">
        <v>2023</v>
      </c>
      <c r="AC11" s="28" t="s">
        <v>370</v>
      </c>
      <c r="AD11" s="78" t="s">
        <v>238</v>
      </c>
    </row>
    <row r="12" spans="1:31" x14ac:dyDescent="0.3">
      <c r="A12" s="13">
        <v>10</v>
      </c>
      <c r="B12" s="77" t="s">
        <v>345</v>
      </c>
      <c r="C12" s="4" t="s">
        <v>43</v>
      </c>
      <c r="D12" s="3" t="s">
        <v>103</v>
      </c>
      <c r="E12" s="15" t="s">
        <v>15</v>
      </c>
      <c r="F12" s="15" t="s">
        <v>15</v>
      </c>
      <c r="G12" s="15" t="s">
        <v>16</v>
      </c>
      <c r="H12" s="15" t="s">
        <v>138</v>
      </c>
      <c r="I12" s="15">
        <f t="shared" si="0"/>
        <v>2</v>
      </c>
      <c r="J12" s="15">
        <v>2</v>
      </c>
      <c r="K12" s="15" t="s">
        <v>113</v>
      </c>
      <c r="L12" s="15" t="s">
        <v>69</v>
      </c>
      <c r="M12" s="15" t="s">
        <v>316</v>
      </c>
      <c r="N12" s="15" t="s">
        <v>368</v>
      </c>
      <c r="O12" s="16" t="s">
        <v>115</v>
      </c>
      <c r="P12" s="16"/>
      <c r="Q12" s="16"/>
      <c r="R12" s="16"/>
      <c r="S12" s="16"/>
      <c r="T12" s="7">
        <v>13000</v>
      </c>
      <c r="U12" s="7">
        <f>SUMIF(Facturas!B:B,Tabla1[[#This Row],[ID]],Facturas!P:P)</f>
        <v>0</v>
      </c>
      <c r="V12" s="102">
        <f>Tabla1[[#This Row],[Aprobado
S/.]]/SUMIF(AB:AB,Tabla1[[#This Row],[Año Proy]],T:T)</f>
        <v>0</v>
      </c>
      <c r="W12" s="7">
        <f>SUMIFS(Facturas!P:P,Facturas!B:B,Tabla1[[#This Row],[ID]],Facturas!T:T,"Cancelado")</f>
        <v>0</v>
      </c>
      <c r="X12" s="102">
        <f>Tabla1[[#This Row],[Ejecutado
S/.]]/SUMIF(AB:AB,Tabla1[[#This Row],[Año Proy]],T:T)</f>
        <v>0</v>
      </c>
      <c r="Y12" s="7" t="str">
        <f>IF(Tabla1[[#This Row],[Aprobado
S/.]]&gt;0,"Aprobado","Pendiente")</f>
        <v>Pendiente</v>
      </c>
      <c r="Z12" s="124"/>
      <c r="AA12" s="124">
        <f>Tabla1[[#This Row],[Fecha aprobación]]-DAY(Tabla1[[#This Row],[Fecha aprobación]])+1</f>
        <v>1</v>
      </c>
      <c r="AB12" s="28">
        <v>2023</v>
      </c>
      <c r="AC12" s="28" t="s">
        <v>370</v>
      </c>
      <c r="AD12" s="78" t="s">
        <v>238</v>
      </c>
    </row>
    <row r="13" spans="1:31" x14ac:dyDescent="0.3">
      <c r="A13" s="13">
        <v>11</v>
      </c>
      <c r="B13" s="77" t="s">
        <v>346</v>
      </c>
      <c r="C13" s="4" t="s">
        <v>326</v>
      </c>
      <c r="D13" s="3"/>
      <c r="E13" s="15" t="s">
        <v>15</v>
      </c>
      <c r="F13" s="15" t="s">
        <v>15</v>
      </c>
      <c r="G13" s="15"/>
      <c r="H13" s="15" t="s">
        <v>140</v>
      </c>
      <c r="I13" s="15">
        <f t="shared" si="0"/>
        <v>1</v>
      </c>
      <c r="J13" s="15">
        <v>1</v>
      </c>
      <c r="K13" s="15" t="s">
        <v>113</v>
      </c>
      <c r="L13" s="15" t="s">
        <v>69</v>
      </c>
      <c r="M13" s="15" t="s">
        <v>314</v>
      </c>
      <c r="N13" s="15" t="s">
        <v>381</v>
      </c>
      <c r="O13" s="16"/>
      <c r="P13" s="16" t="s">
        <v>115</v>
      </c>
      <c r="Q13" s="16"/>
      <c r="R13" s="16"/>
      <c r="S13" s="16"/>
      <c r="T13" s="7">
        <v>2000</v>
      </c>
      <c r="U13" s="7">
        <f>SUMIF(Facturas!B:B,Tabla1[[#This Row],[ID]],Facturas!P:P)</f>
        <v>1200</v>
      </c>
      <c r="V13" s="102">
        <f>Tabla1[[#This Row],[Aprobado
S/.]]/SUMIF(AB:AB,Tabla1[[#This Row],[Año Proy]],T:T)</f>
        <v>4.6874999999999998E-3</v>
      </c>
      <c r="W13" s="7">
        <f>SUMIFS(Facturas!P:P,Facturas!B:B,Tabla1[[#This Row],[ID]],Facturas!T:T,"Cancelado")</f>
        <v>1200</v>
      </c>
      <c r="X13" s="102">
        <f>Tabla1[[#This Row],[Ejecutado
S/.]]/SUMIF(AB:AB,Tabla1[[#This Row],[Año Proy]],T:T)</f>
        <v>4.6874999999999998E-3</v>
      </c>
      <c r="Y13" s="7" t="str">
        <f>IF(Tabla1[[#This Row],[Aprobado
S/.]]&gt;0,"Aprobado","Pendiente")</f>
        <v>Aprobado</v>
      </c>
      <c r="Z13" s="124">
        <v>44960</v>
      </c>
      <c r="AA13" s="124">
        <f>Tabla1[[#This Row],[Fecha aprobación]]-DAY(Tabla1[[#This Row],[Fecha aprobación]])+1</f>
        <v>44958</v>
      </c>
      <c r="AB13" s="28">
        <v>2023</v>
      </c>
      <c r="AC13" s="28" t="s">
        <v>370</v>
      </c>
      <c r="AD13" s="78" t="s">
        <v>238</v>
      </c>
    </row>
    <row r="14" spans="1:31" x14ac:dyDescent="0.3">
      <c r="A14" s="13">
        <v>12</v>
      </c>
      <c r="B14" s="77" t="s">
        <v>347</v>
      </c>
      <c r="C14" s="4" t="s">
        <v>136</v>
      </c>
      <c r="D14" s="3"/>
      <c r="E14" s="15" t="s">
        <v>243</v>
      </c>
      <c r="F14" s="15" t="s">
        <v>16</v>
      </c>
      <c r="G14" s="15"/>
      <c r="H14" s="15" t="s">
        <v>138</v>
      </c>
      <c r="I14" s="15">
        <f t="shared" si="0"/>
        <v>2</v>
      </c>
      <c r="J14" s="15">
        <v>2</v>
      </c>
      <c r="K14" s="15" t="s">
        <v>374</v>
      </c>
      <c r="L14" s="15" t="s">
        <v>69</v>
      </c>
      <c r="M14" s="15" t="s">
        <v>316</v>
      </c>
      <c r="N14" s="15" t="s">
        <v>368</v>
      </c>
      <c r="O14" s="16" t="s">
        <v>115</v>
      </c>
      <c r="P14" s="16"/>
      <c r="Q14" s="16"/>
      <c r="R14" s="16"/>
      <c r="S14" s="16" t="s">
        <v>115</v>
      </c>
      <c r="T14" s="7">
        <v>10000</v>
      </c>
      <c r="U14" s="7">
        <f>SUMIF(Facturas!B:B,Tabla1[[#This Row],[ID]],Facturas!P:P)</f>
        <v>0</v>
      </c>
      <c r="V14" s="102">
        <f>Tabla1[[#This Row],[Aprobado
S/.]]/SUMIF(AB:AB,Tabla1[[#This Row],[Año Proy]],T:T)</f>
        <v>0</v>
      </c>
      <c r="W14" s="7">
        <f>SUMIFS(Facturas!P:P,Facturas!B:B,Tabla1[[#This Row],[ID]],Facturas!T:T,"Cancelado")</f>
        <v>0</v>
      </c>
      <c r="X14" s="102">
        <f>Tabla1[[#This Row],[Ejecutado
S/.]]/SUMIF(AB:AB,Tabla1[[#This Row],[Año Proy]],T:T)</f>
        <v>0</v>
      </c>
      <c r="Y14" s="7" t="str">
        <f>IF(Tabla1[[#This Row],[Aprobado
S/.]]&gt;0,"Aprobado","Pendiente")</f>
        <v>Pendiente</v>
      </c>
      <c r="Z14" s="124"/>
      <c r="AA14" s="124">
        <f>Tabla1[[#This Row],[Fecha aprobación]]-DAY(Tabla1[[#This Row],[Fecha aprobación]])+1</f>
        <v>1</v>
      </c>
      <c r="AB14" s="28">
        <v>2023</v>
      </c>
      <c r="AC14" s="28" t="s">
        <v>370</v>
      </c>
      <c r="AD14" s="78" t="s">
        <v>238</v>
      </c>
    </row>
    <row r="15" spans="1:31" x14ac:dyDescent="0.3">
      <c r="A15" s="13">
        <v>13</v>
      </c>
      <c r="B15" s="77" t="s">
        <v>348</v>
      </c>
      <c r="C15" s="4" t="s">
        <v>669</v>
      </c>
      <c r="D15" s="3"/>
      <c r="E15" s="15" t="s">
        <v>243</v>
      </c>
      <c r="F15" s="15" t="s">
        <v>16</v>
      </c>
      <c r="G15" s="15"/>
      <c r="H15" s="15" t="s">
        <v>138</v>
      </c>
      <c r="I15" s="15">
        <f t="shared" si="0"/>
        <v>2</v>
      </c>
      <c r="J15" s="15">
        <v>2</v>
      </c>
      <c r="K15" s="15" t="s">
        <v>374</v>
      </c>
      <c r="L15" s="15" t="s">
        <v>374</v>
      </c>
      <c r="M15" s="15" t="s">
        <v>316</v>
      </c>
      <c r="N15" s="15" t="s">
        <v>368</v>
      </c>
      <c r="O15" s="16" t="s">
        <v>115</v>
      </c>
      <c r="P15" s="16"/>
      <c r="Q15" s="16"/>
      <c r="R15" s="16"/>
      <c r="S15" s="16"/>
      <c r="T15" s="7">
        <v>12000</v>
      </c>
      <c r="U15" s="7">
        <f>SUMIF(Facturas!B:B,Tabla1[[#This Row],[ID]],Facturas!P:P)</f>
        <v>11200</v>
      </c>
      <c r="V15" s="102">
        <f>Tabla1[[#This Row],[Aprobado
S/.]]/SUMIF(AB:AB,Tabla1[[#This Row],[Año Proy]],T:T)</f>
        <v>4.3749999999999997E-2</v>
      </c>
      <c r="W15" s="7">
        <f>SUMIFS(Facturas!P:P,Facturas!B:B,Tabla1[[#This Row],[ID]],Facturas!T:T,"Cancelado")</f>
        <v>0</v>
      </c>
      <c r="X15" s="102">
        <f>Tabla1[[#This Row],[Ejecutado
S/.]]/SUMIF(AB:AB,Tabla1[[#This Row],[Año Proy]],T:T)</f>
        <v>0</v>
      </c>
      <c r="Y15" s="7" t="str">
        <f>IF(Tabla1[[#This Row],[Aprobado
S/.]]&gt;0,"Aprobado","Pendiente")</f>
        <v>Aprobado</v>
      </c>
      <c r="Z15" s="124"/>
      <c r="AA15" s="124">
        <f>Tabla1[[#This Row],[Fecha aprobación]]-DAY(Tabla1[[#This Row],[Fecha aprobación]])+1</f>
        <v>1</v>
      </c>
      <c r="AB15" s="28">
        <v>2023</v>
      </c>
      <c r="AC15" s="28" t="s">
        <v>370</v>
      </c>
      <c r="AD15" s="78" t="s">
        <v>238</v>
      </c>
    </row>
    <row r="16" spans="1:31" x14ac:dyDescent="0.3">
      <c r="A16" s="13">
        <v>14</v>
      </c>
      <c r="B16" s="77" t="s">
        <v>349</v>
      </c>
      <c r="C16" s="4" t="s">
        <v>530</v>
      </c>
      <c r="D16" s="3"/>
      <c r="E16" s="15" t="s">
        <v>15</v>
      </c>
      <c r="F16" s="15" t="s">
        <v>15</v>
      </c>
      <c r="G16" s="15"/>
      <c r="H16" s="15" t="s">
        <v>138</v>
      </c>
      <c r="I16" s="15">
        <f t="shared" si="0"/>
        <v>2</v>
      </c>
      <c r="J16" s="15">
        <v>2</v>
      </c>
      <c r="K16" s="15" t="s">
        <v>113</v>
      </c>
      <c r="L16" s="15" t="s">
        <v>69</v>
      </c>
      <c r="M16" s="15" t="s">
        <v>316</v>
      </c>
      <c r="N16" s="15" t="s">
        <v>368</v>
      </c>
      <c r="O16" s="16" t="s">
        <v>115</v>
      </c>
      <c r="P16" s="16" t="s">
        <v>115</v>
      </c>
      <c r="Q16" s="16"/>
      <c r="R16" s="16"/>
      <c r="S16" s="16"/>
      <c r="T16" s="7">
        <v>8000</v>
      </c>
      <c r="U16" s="7">
        <f>SUMIF(Facturas!B:B,Tabla1[[#This Row],[ID]],Facturas!P:P)</f>
        <v>13910</v>
      </c>
      <c r="V16" s="102">
        <f>Tabla1[[#This Row],[Aprobado
S/.]]/SUMIF(AB:AB,Tabla1[[#This Row],[Año Proy]],T:T)</f>
        <v>5.4335937500000001E-2</v>
      </c>
      <c r="W16" s="7">
        <f>SUMIFS(Facturas!P:P,Facturas!B:B,Tabla1[[#This Row],[ID]],Facturas!T:T,"Cancelado")</f>
        <v>3060</v>
      </c>
      <c r="X16" s="102">
        <f>Tabla1[[#This Row],[Ejecutado
S/.]]/SUMIF(AB:AB,Tabla1[[#This Row],[Año Proy]],T:T)</f>
        <v>1.1953125E-2</v>
      </c>
      <c r="Y16" s="7" t="str">
        <f>IF(Tabla1[[#This Row],[Aprobado
S/.]]&gt;0,"Aprobado","Pendiente")</f>
        <v>Aprobado</v>
      </c>
      <c r="Z16" s="124">
        <v>45012</v>
      </c>
      <c r="AA16" s="124">
        <f>Tabla1[[#This Row],[Fecha aprobación]]-DAY(Tabla1[[#This Row],[Fecha aprobación]])+1</f>
        <v>44986</v>
      </c>
      <c r="AB16" s="28">
        <v>2023</v>
      </c>
      <c r="AC16" s="28" t="s">
        <v>370</v>
      </c>
      <c r="AD16" s="78" t="s">
        <v>238</v>
      </c>
    </row>
    <row r="17" spans="1:30" x14ac:dyDescent="0.3">
      <c r="A17" s="13">
        <v>15</v>
      </c>
      <c r="B17" s="77" t="s">
        <v>350</v>
      </c>
      <c r="C17" s="4" t="s">
        <v>366</v>
      </c>
      <c r="D17" s="3"/>
      <c r="E17" s="15" t="s">
        <v>243</v>
      </c>
      <c r="F17" s="15" t="s">
        <v>97</v>
      </c>
      <c r="G17" s="15"/>
      <c r="H17" s="15" t="s">
        <v>140</v>
      </c>
      <c r="I17" s="15">
        <f t="shared" si="0"/>
        <v>1</v>
      </c>
      <c r="J17" s="15">
        <v>1</v>
      </c>
      <c r="K17" s="15" t="s">
        <v>69</v>
      </c>
      <c r="L17" s="15" t="s">
        <v>69</v>
      </c>
      <c r="M17" s="15" t="s">
        <v>316</v>
      </c>
      <c r="N17" s="15" t="s">
        <v>368</v>
      </c>
      <c r="O17" s="16" t="s">
        <v>115</v>
      </c>
      <c r="P17" s="16" t="s">
        <v>115</v>
      </c>
      <c r="Q17" s="16" t="s">
        <v>115</v>
      </c>
      <c r="R17" s="16" t="s">
        <v>115</v>
      </c>
      <c r="S17" s="16"/>
      <c r="T17" s="7">
        <v>5000</v>
      </c>
      <c r="U17" s="7">
        <f>SUMIF(Facturas!B:B,Tabla1[[#This Row],[ID]],Facturas!P:P)</f>
        <v>0</v>
      </c>
      <c r="V17" s="102">
        <f>Tabla1[[#This Row],[Aprobado
S/.]]/SUMIF(AB:AB,Tabla1[[#This Row],[Año Proy]],T:T)</f>
        <v>0</v>
      </c>
      <c r="W17" s="7">
        <f>SUMIFS(Facturas!P:P,Facturas!B:B,Tabla1[[#This Row],[ID]],Facturas!T:T,"Cancelado")</f>
        <v>0</v>
      </c>
      <c r="X17" s="102">
        <f>Tabla1[[#This Row],[Ejecutado
S/.]]/SUMIF(AB:AB,Tabla1[[#This Row],[Año Proy]],T:T)</f>
        <v>0</v>
      </c>
      <c r="Y17" s="7" t="str">
        <f>IF(Tabla1[[#This Row],[Aprobado
S/.]]&gt;0,"Aprobado","Pendiente")</f>
        <v>Pendiente</v>
      </c>
      <c r="Z17" s="124"/>
      <c r="AA17" s="124">
        <f>Tabla1[[#This Row],[Fecha aprobación]]-DAY(Tabla1[[#This Row],[Fecha aprobación]])+1</f>
        <v>1</v>
      </c>
      <c r="AB17" s="28">
        <v>2023</v>
      </c>
      <c r="AC17" s="28" t="s">
        <v>370</v>
      </c>
      <c r="AD17" s="78" t="s">
        <v>238</v>
      </c>
    </row>
    <row r="18" spans="1:30" x14ac:dyDescent="0.3">
      <c r="A18" s="13">
        <v>16</v>
      </c>
      <c r="B18" s="77" t="s">
        <v>351</v>
      </c>
      <c r="C18" s="4" t="s">
        <v>708</v>
      </c>
      <c r="D18" s="3"/>
      <c r="E18" s="15" t="s">
        <v>243</v>
      </c>
      <c r="F18" s="15" t="s">
        <v>16</v>
      </c>
      <c r="G18" s="15" t="s">
        <v>108</v>
      </c>
      <c r="H18" s="15" t="s">
        <v>139</v>
      </c>
      <c r="I18" s="15">
        <f t="shared" si="0"/>
        <v>4</v>
      </c>
      <c r="J18" s="15">
        <v>0</v>
      </c>
      <c r="K18" s="15" t="s">
        <v>374</v>
      </c>
      <c r="L18" s="15" t="s">
        <v>374</v>
      </c>
      <c r="M18" s="15" t="s">
        <v>314</v>
      </c>
      <c r="N18" s="15" t="s">
        <v>368</v>
      </c>
      <c r="O18" s="16" t="s">
        <v>115</v>
      </c>
      <c r="P18" s="16"/>
      <c r="Q18" s="16"/>
      <c r="R18" s="16"/>
      <c r="S18" s="16"/>
      <c r="T18" s="7">
        <v>12000</v>
      </c>
      <c r="U18" s="7">
        <f>SUMIF(Facturas!B:B,Tabla1[[#This Row],[ID]],Facturas!P:P)</f>
        <v>0</v>
      </c>
      <c r="V18" s="102">
        <f>Tabla1[[#This Row],[Aprobado
S/.]]/SUMIF(AB:AB,Tabla1[[#This Row],[Año Proy]],T:T)</f>
        <v>0</v>
      </c>
      <c r="W18" s="7">
        <f>SUMIFS(Facturas!P:P,Facturas!B:B,Tabla1[[#This Row],[ID]],Facturas!T:T,"Cancelado")</f>
        <v>0</v>
      </c>
      <c r="X18" s="102">
        <f>Tabla1[[#This Row],[Ejecutado
S/.]]/SUMIF(AB:AB,Tabla1[[#This Row],[Año Proy]],T:T)</f>
        <v>0</v>
      </c>
      <c r="Y18" s="7" t="str">
        <f>IF(Tabla1[[#This Row],[Aprobado
S/.]]&gt;0,"Aprobado","Pendiente")</f>
        <v>Pendiente</v>
      </c>
      <c r="Z18" s="124"/>
      <c r="AA18" s="124">
        <f>Tabla1[[#This Row],[Fecha aprobación]]-DAY(Tabla1[[#This Row],[Fecha aprobación]])+1</f>
        <v>1</v>
      </c>
      <c r="AB18" s="28">
        <v>2023</v>
      </c>
      <c r="AC18" s="28" t="s">
        <v>370</v>
      </c>
      <c r="AD18" s="78" t="s">
        <v>238</v>
      </c>
    </row>
    <row r="19" spans="1:30" x14ac:dyDescent="0.3">
      <c r="A19" s="13">
        <v>17</v>
      </c>
      <c r="B19" s="77" t="s">
        <v>352</v>
      </c>
      <c r="C19" s="4" t="s">
        <v>531</v>
      </c>
      <c r="D19" s="3"/>
      <c r="E19" s="15" t="s">
        <v>15</v>
      </c>
      <c r="F19" s="15" t="s">
        <v>15</v>
      </c>
      <c r="G19" s="15"/>
      <c r="H19" s="15" t="s">
        <v>139</v>
      </c>
      <c r="I19" s="15">
        <f t="shared" si="0"/>
        <v>4</v>
      </c>
      <c r="J19" s="15">
        <v>4</v>
      </c>
      <c r="K19" s="15" t="s">
        <v>113</v>
      </c>
      <c r="L19" s="15" t="s">
        <v>69</v>
      </c>
      <c r="M19" s="15" t="s">
        <v>316</v>
      </c>
      <c r="N19" s="15" t="s">
        <v>368</v>
      </c>
      <c r="O19" s="16" t="s">
        <v>115</v>
      </c>
      <c r="P19" s="16"/>
      <c r="Q19" s="16"/>
      <c r="R19" s="16"/>
      <c r="S19" s="16"/>
      <c r="T19" s="7">
        <v>28000</v>
      </c>
      <c r="U19" s="7">
        <f>SUMIF(Facturas!B:B,Tabla1[[#This Row],[ID]],Facturas!P:P)</f>
        <v>0</v>
      </c>
      <c r="V19" s="102">
        <f>Tabla1[[#This Row],[Aprobado
S/.]]/SUMIF(AB:AB,Tabla1[[#This Row],[Año Proy]],T:T)</f>
        <v>0</v>
      </c>
      <c r="W19" s="7">
        <f>SUMIFS(Facturas!P:P,Facturas!B:B,Tabla1[[#This Row],[ID]],Facturas!T:T,"Cancelado")</f>
        <v>0</v>
      </c>
      <c r="X19" s="102">
        <f>Tabla1[[#This Row],[Ejecutado
S/.]]/SUMIF(AB:AB,Tabla1[[#This Row],[Año Proy]],T:T)</f>
        <v>0</v>
      </c>
      <c r="Y19" s="7" t="str">
        <f>IF(Tabla1[[#This Row],[Aprobado
S/.]]&gt;0,"Aprobado","Pendiente")</f>
        <v>Pendiente</v>
      </c>
      <c r="Z19" s="124"/>
      <c r="AA19" s="124">
        <f>Tabla1[[#This Row],[Fecha aprobación]]-DAY(Tabla1[[#This Row],[Fecha aprobación]])+1</f>
        <v>1</v>
      </c>
      <c r="AB19" s="28">
        <v>2023</v>
      </c>
      <c r="AC19" s="28" t="s">
        <v>370</v>
      </c>
      <c r="AD19" s="78" t="s">
        <v>238</v>
      </c>
    </row>
    <row r="20" spans="1:30" x14ac:dyDescent="0.3">
      <c r="A20" s="13">
        <v>18</v>
      </c>
      <c r="B20" s="77" t="s">
        <v>353</v>
      </c>
      <c r="C20" s="4" t="s">
        <v>371</v>
      </c>
      <c r="D20" s="3"/>
      <c r="E20" s="15" t="s">
        <v>110</v>
      </c>
      <c r="F20" s="15" t="s">
        <v>36</v>
      </c>
      <c r="G20" s="15"/>
      <c r="H20" s="15" t="s">
        <v>140</v>
      </c>
      <c r="I20" s="15">
        <f t="shared" si="0"/>
        <v>1</v>
      </c>
      <c r="J20" s="15">
        <v>1</v>
      </c>
      <c r="K20" s="15" t="s">
        <v>178</v>
      </c>
      <c r="L20" s="15" t="s">
        <v>69</v>
      </c>
      <c r="M20" s="15" t="s">
        <v>314</v>
      </c>
      <c r="N20" s="15" t="s">
        <v>472</v>
      </c>
      <c r="O20" s="16"/>
      <c r="P20" s="16"/>
      <c r="Q20" s="16" t="s">
        <v>115</v>
      </c>
      <c r="R20" s="16"/>
      <c r="S20" s="16"/>
      <c r="T20" s="7">
        <v>5000</v>
      </c>
      <c r="U20" s="7">
        <f>SUMIF(Facturas!B:B,Tabla1[[#This Row],[ID]],Facturas!P:P)</f>
        <v>925</v>
      </c>
      <c r="V20" s="102">
        <f>Tabla1[[#This Row],[Aprobado
S/.]]/SUMIF(AB:AB,Tabla1[[#This Row],[Año Proy]],T:T)</f>
        <v>3.6132812500000002E-3</v>
      </c>
      <c r="W20" s="7">
        <f>SUMIFS(Facturas!P:P,Facturas!B:B,Tabla1[[#This Row],[ID]],Facturas!T:T,"Cancelado")</f>
        <v>925</v>
      </c>
      <c r="X20" s="102">
        <f>Tabla1[[#This Row],[Ejecutado
S/.]]/SUMIF(AB:AB,Tabla1[[#This Row],[Año Proy]],T:T)</f>
        <v>3.6132812500000002E-3</v>
      </c>
      <c r="Y20" s="7" t="str">
        <f>IF(Tabla1[[#This Row],[Aprobado
S/.]]&gt;0,"Aprobado","Pendiente")</f>
        <v>Aprobado</v>
      </c>
      <c r="Z20" s="124">
        <v>45040</v>
      </c>
      <c r="AA20" s="124">
        <f>Tabla1[[#This Row],[Fecha aprobación]]-DAY(Tabla1[[#This Row],[Fecha aprobación]])+1</f>
        <v>45017</v>
      </c>
      <c r="AB20" s="28">
        <v>2023</v>
      </c>
      <c r="AC20" s="28" t="s">
        <v>370</v>
      </c>
      <c r="AD20" s="78" t="s">
        <v>238</v>
      </c>
    </row>
    <row r="21" spans="1:30" x14ac:dyDescent="0.3">
      <c r="A21" s="13">
        <v>19</v>
      </c>
      <c r="B21" s="77" t="s">
        <v>354</v>
      </c>
      <c r="C21" s="4" t="s">
        <v>308</v>
      </c>
      <c r="D21" s="3"/>
      <c r="E21" s="15" t="s">
        <v>243</v>
      </c>
      <c r="F21" s="15" t="s">
        <v>19</v>
      </c>
      <c r="G21" s="15"/>
      <c r="H21" s="15" t="s">
        <v>140</v>
      </c>
      <c r="I21" s="15">
        <f t="shared" si="0"/>
        <v>1</v>
      </c>
      <c r="J21" s="15">
        <v>1</v>
      </c>
      <c r="K21" s="15" t="s">
        <v>373</v>
      </c>
      <c r="L21" s="15" t="s">
        <v>69</v>
      </c>
      <c r="M21" s="15" t="s">
        <v>314</v>
      </c>
      <c r="N21" s="15" t="s">
        <v>368</v>
      </c>
      <c r="O21" s="16" t="s">
        <v>115</v>
      </c>
      <c r="P21" s="16"/>
      <c r="Q21" s="16"/>
      <c r="R21" s="16"/>
      <c r="S21" s="16"/>
      <c r="T21" s="7">
        <v>5000</v>
      </c>
      <c r="U21" s="7">
        <f>SUMIF(Facturas!B:B,Tabla1[[#This Row],[ID]],Facturas!P:P)</f>
        <v>2420</v>
      </c>
      <c r="V21" s="102">
        <f>Tabla1[[#This Row],[Aprobado
S/.]]/SUMIF(AB:AB,Tabla1[[#This Row],[Año Proy]],T:T)</f>
        <v>9.4531249999999997E-3</v>
      </c>
      <c r="W21" s="7">
        <f>SUMIFS(Facturas!P:P,Facturas!B:B,Tabla1[[#This Row],[ID]],Facturas!T:T,"Cancelado")</f>
        <v>2420</v>
      </c>
      <c r="X21" s="102">
        <f>Tabla1[[#This Row],[Ejecutado
S/.]]/SUMIF(AB:AB,Tabla1[[#This Row],[Año Proy]],T:T)</f>
        <v>9.4531249999999997E-3</v>
      </c>
      <c r="Y21" s="7" t="str">
        <f>IF(Tabla1[[#This Row],[Aprobado
S/.]]&gt;0,"Aprobado","Pendiente")</f>
        <v>Aprobado</v>
      </c>
      <c r="Z21" s="124">
        <v>45001</v>
      </c>
      <c r="AA21" s="124">
        <f>Tabla1[[#This Row],[Fecha aprobación]]-DAY(Tabla1[[#This Row],[Fecha aprobación]])+1</f>
        <v>44986</v>
      </c>
      <c r="AB21" s="28">
        <v>2023</v>
      </c>
      <c r="AC21" s="28" t="s">
        <v>370</v>
      </c>
      <c r="AD21" s="78" t="s">
        <v>238</v>
      </c>
    </row>
    <row r="22" spans="1:30" x14ac:dyDescent="0.3">
      <c r="A22" s="13">
        <v>20</v>
      </c>
      <c r="B22" s="77" t="s">
        <v>355</v>
      </c>
      <c r="C22" s="4" t="s">
        <v>193</v>
      </c>
      <c r="D22" s="3"/>
      <c r="E22" s="15" t="s">
        <v>15</v>
      </c>
      <c r="F22" s="15" t="s">
        <v>15</v>
      </c>
      <c r="G22" s="15" t="s">
        <v>21</v>
      </c>
      <c r="H22" s="15" t="s">
        <v>140</v>
      </c>
      <c r="I22" s="15">
        <f t="shared" si="0"/>
        <v>1</v>
      </c>
      <c r="J22" s="15">
        <v>1</v>
      </c>
      <c r="K22" s="15" t="s">
        <v>113</v>
      </c>
      <c r="L22" s="15" t="s">
        <v>69</v>
      </c>
      <c r="M22" s="15" t="s">
        <v>314</v>
      </c>
      <c r="N22" s="15" t="s">
        <v>368</v>
      </c>
      <c r="O22" s="16"/>
      <c r="P22" s="16" t="s">
        <v>115</v>
      </c>
      <c r="Q22" s="16"/>
      <c r="R22" s="16"/>
      <c r="S22" s="16"/>
      <c r="T22" s="7">
        <v>7000</v>
      </c>
      <c r="U22" s="7">
        <f>SUMIF(Facturas!B:B,Tabla1[[#This Row],[ID]],Facturas!P:P)</f>
        <v>1780</v>
      </c>
      <c r="V22" s="102">
        <f>Tabla1[[#This Row],[Aprobado
S/.]]/SUMIF(AB:AB,Tabla1[[#This Row],[Año Proy]],T:T)</f>
        <v>6.9531250000000001E-3</v>
      </c>
      <c r="W22" s="7">
        <f>SUMIFS(Facturas!P:P,Facturas!B:B,Tabla1[[#This Row],[ID]],Facturas!T:T,"Cancelado")</f>
        <v>1780</v>
      </c>
      <c r="X22" s="102">
        <f>Tabla1[[#This Row],[Ejecutado
S/.]]/SUMIF(AB:AB,Tabla1[[#This Row],[Año Proy]],T:T)</f>
        <v>6.9531250000000001E-3</v>
      </c>
      <c r="Y22" s="7" t="str">
        <f>IF(Tabla1[[#This Row],[Aprobado
S/.]]&gt;0,"Aprobado","Pendiente")</f>
        <v>Aprobado</v>
      </c>
      <c r="Z22" s="124">
        <v>44927</v>
      </c>
      <c r="AA22" s="124">
        <f>Tabla1[[#This Row],[Fecha aprobación]]-DAY(Tabla1[[#This Row],[Fecha aprobación]])+1</f>
        <v>44927</v>
      </c>
      <c r="AB22" s="28">
        <v>2023</v>
      </c>
      <c r="AC22" s="28" t="s">
        <v>370</v>
      </c>
      <c r="AD22" s="78" t="s">
        <v>238</v>
      </c>
    </row>
    <row r="23" spans="1:30" hidden="1" x14ac:dyDescent="0.3">
      <c r="A23" s="13">
        <v>21</v>
      </c>
      <c r="B23" s="77" t="s">
        <v>719</v>
      </c>
      <c r="C23" s="4" t="s">
        <v>709</v>
      </c>
      <c r="D23" s="3"/>
      <c r="E23" s="15" t="s">
        <v>110</v>
      </c>
      <c r="F23" s="15"/>
      <c r="G23" s="15"/>
      <c r="H23" s="15" t="s">
        <v>139</v>
      </c>
      <c r="I23" s="15">
        <f t="shared" si="0"/>
        <v>4</v>
      </c>
      <c r="J23" s="15">
        <v>4</v>
      </c>
      <c r="K23" s="15" t="s">
        <v>372</v>
      </c>
      <c r="L23" s="15" t="s">
        <v>69</v>
      </c>
      <c r="M23" s="15" t="s">
        <v>68</v>
      </c>
      <c r="N23" s="15" t="s">
        <v>368</v>
      </c>
      <c r="O23" s="16" t="s">
        <v>115</v>
      </c>
      <c r="P23" s="16"/>
      <c r="Q23" s="16"/>
      <c r="R23" s="16"/>
      <c r="S23" s="16"/>
      <c r="T23" s="140">
        <v>15000</v>
      </c>
      <c r="U23" s="7">
        <f>SUMIF(Facturas!B:B,Tabla1[[#This Row],[ID]],Facturas!P:P)</f>
        <v>0</v>
      </c>
      <c r="V23" s="102">
        <f>Tabla1[[#This Row],[Aprobado
S/.]]/SUMIF(AB:AB,Tabla1[[#This Row],[Año Proy]],T:T)</f>
        <v>0</v>
      </c>
      <c r="W23" s="7">
        <f>SUMIFS(Facturas!P:P,Facturas!B:B,Tabla1[[#This Row],[ID]],Facturas!T:T,"Cancelado")</f>
        <v>0</v>
      </c>
      <c r="X23" s="102">
        <f>Tabla1[[#This Row],[Ejecutado
S/.]]/SUMIF(AB:AB,Tabla1[[#This Row],[Año Proy]],T:T)</f>
        <v>0</v>
      </c>
      <c r="Y23" s="7" t="str">
        <f>IF(Tabla1[[#This Row],[Aprobado
S/.]]&gt;0,"Aprobado","Pendiente")</f>
        <v>Pendiente</v>
      </c>
      <c r="Z23" s="124"/>
      <c r="AA23" s="124">
        <f>Tabla1[[#This Row],[Fecha aprobación]]-DAY(Tabla1[[#This Row],[Fecha aprobación]])+1</f>
        <v>1</v>
      </c>
      <c r="AB23" s="28">
        <v>2024</v>
      </c>
      <c r="AC23" s="28" t="s">
        <v>370</v>
      </c>
      <c r="AD23" s="78" t="s">
        <v>238</v>
      </c>
    </row>
    <row r="24" spans="1:30" hidden="1" x14ac:dyDescent="0.3">
      <c r="A24" s="13">
        <v>22</v>
      </c>
      <c r="B24" s="77" t="s">
        <v>720</v>
      </c>
      <c r="C24" s="4" t="s">
        <v>710</v>
      </c>
      <c r="D24" s="3"/>
      <c r="E24" s="15" t="s">
        <v>110</v>
      </c>
      <c r="F24" s="15"/>
      <c r="G24" s="15"/>
      <c r="H24" s="15" t="s">
        <v>138</v>
      </c>
      <c r="I24" s="15">
        <f t="shared" si="0"/>
        <v>2</v>
      </c>
      <c r="J24" s="15">
        <v>2</v>
      </c>
      <c r="K24" s="15"/>
      <c r="L24" s="15" t="s">
        <v>69</v>
      </c>
      <c r="M24" s="15" t="s">
        <v>68</v>
      </c>
      <c r="N24" s="15" t="s">
        <v>368</v>
      </c>
      <c r="O24" s="16" t="s">
        <v>115</v>
      </c>
      <c r="P24" s="16"/>
      <c r="Q24" s="16"/>
      <c r="R24" s="16"/>
      <c r="S24" s="16"/>
      <c r="T24" s="140">
        <v>20000</v>
      </c>
      <c r="U24" s="7">
        <f>SUMIF(Facturas!B:B,Tabla1[[#This Row],[ID]],Facturas!P:P)</f>
        <v>0</v>
      </c>
      <c r="V24" s="102">
        <f>Tabla1[[#This Row],[Aprobado
S/.]]/SUMIF(AB:AB,Tabla1[[#This Row],[Año Proy]],T:T)</f>
        <v>0</v>
      </c>
      <c r="W24" s="7">
        <f>SUMIFS(Facturas!P:P,Facturas!B:B,Tabla1[[#This Row],[ID]],Facturas!T:T,"Cancelado")</f>
        <v>0</v>
      </c>
      <c r="X24" s="102">
        <f>Tabla1[[#This Row],[Ejecutado
S/.]]/SUMIF(AB:AB,Tabla1[[#This Row],[Año Proy]],T:T)</f>
        <v>0</v>
      </c>
      <c r="Y24" s="7" t="str">
        <f>IF(Tabla1[[#This Row],[Aprobado
S/.]]&gt;0,"Aprobado","Pendiente")</f>
        <v>Pendiente</v>
      </c>
      <c r="Z24" s="124"/>
      <c r="AA24" s="124">
        <f>Tabla1[[#This Row],[Fecha aprobación]]-DAY(Tabla1[[#This Row],[Fecha aprobación]])+1</f>
        <v>1</v>
      </c>
      <c r="AB24" s="28">
        <v>2024</v>
      </c>
      <c r="AC24" s="28" t="s">
        <v>370</v>
      </c>
      <c r="AD24" s="78" t="s">
        <v>238</v>
      </c>
    </row>
    <row r="25" spans="1:30" hidden="1" x14ac:dyDescent="0.3">
      <c r="A25" s="13">
        <v>23</v>
      </c>
      <c r="B25" s="77" t="s">
        <v>721</v>
      </c>
      <c r="C25" s="4" t="s">
        <v>711</v>
      </c>
      <c r="D25" s="3"/>
      <c r="E25" s="15" t="s">
        <v>110</v>
      </c>
      <c r="F25" s="15"/>
      <c r="G25" s="15"/>
      <c r="H25" s="15" t="s">
        <v>138</v>
      </c>
      <c r="I25" s="15">
        <f t="shared" si="0"/>
        <v>2</v>
      </c>
      <c r="J25" s="15">
        <v>2</v>
      </c>
      <c r="K25" s="15" t="s">
        <v>372</v>
      </c>
      <c r="L25" s="15" t="s">
        <v>69</v>
      </c>
      <c r="M25" s="15" t="s">
        <v>68</v>
      </c>
      <c r="N25" s="15" t="s">
        <v>472</v>
      </c>
      <c r="O25" s="16"/>
      <c r="P25" s="16"/>
      <c r="Q25" s="16" t="s">
        <v>115</v>
      </c>
      <c r="R25" s="16"/>
      <c r="S25" s="16"/>
      <c r="T25" s="140">
        <v>25000</v>
      </c>
      <c r="U25" s="7">
        <f>SUMIF(Facturas!B:B,Tabla1[[#This Row],[ID]],Facturas!P:P)</f>
        <v>0</v>
      </c>
      <c r="V25" s="102">
        <f>Tabla1[[#This Row],[Aprobado
S/.]]/SUMIF(AB:AB,Tabla1[[#This Row],[Año Proy]],T:T)</f>
        <v>0</v>
      </c>
      <c r="W25" s="7">
        <f>SUMIFS(Facturas!P:P,Facturas!B:B,Tabla1[[#This Row],[ID]],Facturas!T:T,"Cancelado")</f>
        <v>0</v>
      </c>
      <c r="X25" s="102">
        <f>Tabla1[[#This Row],[Ejecutado
S/.]]/SUMIF(AB:AB,Tabla1[[#This Row],[Año Proy]],T:T)</f>
        <v>0</v>
      </c>
      <c r="Y25" s="7" t="str">
        <f>IF(Tabla1[[#This Row],[Aprobado
S/.]]&gt;0,"Aprobado","Pendiente")</f>
        <v>Pendiente</v>
      </c>
      <c r="Z25" s="124"/>
      <c r="AA25" s="124">
        <f>Tabla1[[#This Row],[Fecha aprobación]]-DAY(Tabla1[[#This Row],[Fecha aprobación]])+1</f>
        <v>1</v>
      </c>
      <c r="AB25" s="28">
        <v>2024</v>
      </c>
      <c r="AC25" s="28" t="s">
        <v>370</v>
      </c>
      <c r="AD25" s="78" t="s">
        <v>238</v>
      </c>
    </row>
    <row r="26" spans="1:30" hidden="1" x14ac:dyDescent="0.3">
      <c r="A26" s="13">
        <v>24</v>
      </c>
      <c r="B26" s="77" t="s">
        <v>722</v>
      </c>
      <c r="C26" s="4" t="s">
        <v>712</v>
      </c>
      <c r="D26" s="3"/>
      <c r="E26" s="15" t="s">
        <v>110</v>
      </c>
      <c r="F26" s="15"/>
      <c r="G26" s="15"/>
      <c r="H26" s="15" t="s">
        <v>138</v>
      </c>
      <c r="I26" s="15">
        <f t="shared" si="0"/>
        <v>2</v>
      </c>
      <c r="J26" s="15">
        <v>2</v>
      </c>
      <c r="K26" s="15" t="s">
        <v>372</v>
      </c>
      <c r="L26" s="15" t="s">
        <v>69</v>
      </c>
      <c r="M26" s="15" t="s">
        <v>68</v>
      </c>
      <c r="N26" s="15" t="s">
        <v>472</v>
      </c>
      <c r="O26" s="16"/>
      <c r="P26" s="16"/>
      <c r="Q26" s="16" t="s">
        <v>115</v>
      </c>
      <c r="R26" s="16"/>
      <c r="S26" s="16"/>
      <c r="T26" s="140">
        <v>20000</v>
      </c>
      <c r="U26" s="7">
        <f>SUMIF(Facturas!B:B,Tabla1[[#This Row],[ID]],Facturas!P:P)</f>
        <v>0</v>
      </c>
      <c r="V26" s="102">
        <f>Tabla1[[#This Row],[Aprobado
S/.]]/SUMIF(AB:AB,Tabla1[[#This Row],[Año Proy]],T:T)</f>
        <v>0</v>
      </c>
      <c r="W26" s="7">
        <f>SUMIFS(Facturas!P:P,Facturas!B:B,Tabla1[[#This Row],[ID]],Facturas!T:T,"Cancelado")</f>
        <v>0</v>
      </c>
      <c r="X26" s="102">
        <f>Tabla1[[#This Row],[Ejecutado
S/.]]/SUMIF(AB:AB,Tabla1[[#This Row],[Año Proy]],T:T)</f>
        <v>0</v>
      </c>
      <c r="Y26" s="7" t="str">
        <f>IF(Tabla1[[#This Row],[Aprobado
S/.]]&gt;0,"Aprobado","Pendiente")</f>
        <v>Pendiente</v>
      </c>
      <c r="Z26" s="124"/>
      <c r="AA26" s="124">
        <f>Tabla1[[#This Row],[Fecha aprobación]]-DAY(Tabla1[[#This Row],[Fecha aprobación]])+1</f>
        <v>1</v>
      </c>
      <c r="AB26" s="28">
        <v>2024</v>
      </c>
      <c r="AC26" s="28" t="s">
        <v>370</v>
      </c>
      <c r="AD26" s="78" t="s">
        <v>238</v>
      </c>
    </row>
    <row r="27" spans="1:30" hidden="1" x14ac:dyDescent="0.3">
      <c r="A27" s="13">
        <v>25</v>
      </c>
      <c r="B27" s="77" t="s">
        <v>723</v>
      </c>
      <c r="C27" s="4" t="s">
        <v>713</v>
      </c>
      <c r="D27" s="3"/>
      <c r="E27" s="15" t="s">
        <v>110</v>
      </c>
      <c r="F27" s="15"/>
      <c r="G27" s="15"/>
      <c r="H27" s="15" t="s">
        <v>139</v>
      </c>
      <c r="I27" s="15">
        <f t="shared" si="0"/>
        <v>4</v>
      </c>
      <c r="J27" s="15">
        <v>4</v>
      </c>
      <c r="K27" s="15" t="s">
        <v>372</v>
      </c>
      <c r="L27" s="15" t="s">
        <v>69</v>
      </c>
      <c r="M27" s="15" t="s">
        <v>68</v>
      </c>
      <c r="N27" s="15" t="s">
        <v>472</v>
      </c>
      <c r="O27" s="16"/>
      <c r="P27" s="16"/>
      <c r="Q27" s="16" t="s">
        <v>115</v>
      </c>
      <c r="R27" s="16"/>
      <c r="S27" s="16"/>
      <c r="T27" s="140">
        <v>30000</v>
      </c>
      <c r="U27" s="7">
        <f>SUMIF(Facturas!B:B,Tabla1[[#This Row],[ID]],Facturas!P:P)</f>
        <v>0</v>
      </c>
      <c r="V27" s="102">
        <f>Tabla1[[#This Row],[Aprobado
S/.]]/SUMIF(AB:AB,Tabla1[[#This Row],[Año Proy]],T:T)</f>
        <v>0</v>
      </c>
      <c r="W27" s="7">
        <f>SUMIFS(Facturas!P:P,Facturas!B:B,Tabla1[[#This Row],[ID]],Facturas!T:T,"Cancelado")</f>
        <v>0</v>
      </c>
      <c r="X27" s="102">
        <f>Tabla1[[#This Row],[Ejecutado
S/.]]/SUMIF(AB:AB,Tabla1[[#This Row],[Año Proy]],T:T)</f>
        <v>0</v>
      </c>
      <c r="Y27" s="7" t="str">
        <f>IF(Tabla1[[#This Row],[Aprobado
S/.]]&gt;0,"Aprobado","Pendiente")</f>
        <v>Pendiente</v>
      </c>
      <c r="Z27" s="124"/>
      <c r="AA27" s="124">
        <f>Tabla1[[#This Row],[Fecha aprobación]]-DAY(Tabla1[[#This Row],[Fecha aprobación]])+1</f>
        <v>1</v>
      </c>
      <c r="AB27" s="28">
        <v>2024</v>
      </c>
      <c r="AC27" s="28" t="s">
        <v>370</v>
      </c>
      <c r="AD27" s="78" t="s">
        <v>238</v>
      </c>
    </row>
    <row r="28" spans="1:30" hidden="1" x14ac:dyDescent="0.3">
      <c r="A28" s="13">
        <v>26</v>
      </c>
      <c r="B28" s="77" t="s">
        <v>724</v>
      </c>
      <c r="C28" s="4" t="s">
        <v>714</v>
      </c>
      <c r="D28" s="3"/>
      <c r="E28" s="15" t="s">
        <v>15</v>
      </c>
      <c r="F28" s="15"/>
      <c r="G28" s="15"/>
      <c r="H28" s="15" t="s">
        <v>515</v>
      </c>
      <c r="I28" s="15">
        <f t="shared" si="0"/>
        <v>6</v>
      </c>
      <c r="J28" s="15">
        <v>6</v>
      </c>
      <c r="K28" s="15"/>
      <c r="L28" s="15" t="s">
        <v>69</v>
      </c>
      <c r="M28" s="15" t="s">
        <v>68</v>
      </c>
      <c r="N28" s="15" t="s">
        <v>368</v>
      </c>
      <c r="O28" s="16" t="s">
        <v>115</v>
      </c>
      <c r="P28" s="16" t="s">
        <v>115</v>
      </c>
      <c r="Q28" s="16" t="s">
        <v>115</v>
      </c>
      <c r="R28" s="16" t="s">
        <v>115</v>
      </c>
      <c r="S28" s="16" t="s">
        <v>115</v>
      </c>
      <c r="T28" s="140">
        <v>35000</v>
      </c>
      <c r="U28" s="7">
        <f>SUMIF(Facturas!B:B,Tabla1[[#This Row],[ID]],Facturas!P:P)</f>
        <v>0</v>
      </c>
      <c r="V28" s="102">
        <f>Tabla1[[#This Row],[Aprobado
S/.]]/SUMIF(AB:AB,Tabla1[[#This Row],[Año Proy]],T:T)</f>
        <v>0</v>
      </c>
      <c r="W28" s="7">
        <f>SUMIFS(Facturas!P:P,Facturas!B:B,Tabla1[[#This Row],[ID]],Facturas!T:T,"Cancelado")</f>
        <v>0</v>
      </c>
      <c r="X28" s="102">
        <f>Tabla1[[#This Row],[Ejecutado
S/.]]/SUMIF(AB:AB,Tabla1[[#This Row],[Año Proy]],T:T)</f>
        <v>0</v>
      </c>
      <c r="Y28" s="7" t="str">
        <f>IF(Tabla1[[#This Row],[Aprobado
S/.]]&gt;0,"Aprobado","Pendiente")</f>
        <v>Pendiente</v>
      </c>
      <c r="Z28" s="124"/>
      <c r="AA28" s="124">
        <f>Tabla1[[#This Row],[Fecha aprobación]]-DAY(Tabla1[[#This Row],[Fecha aprobación]])+1</f>
        <v>1</v>
      </c>
      <c r="AB28" s="28">
        <v>2024</v>
      </c>
      <c r="AC28" s="28" t="s">
        <v>370</v>
      </c>
      <c r="AD28" s="78" t="s">
        <v>238</v>
      </c>
    </row>
    <row r="29" spans="1:30" hidden="1" x14ac:dyDescent="0.3">
      <c r="A29" s="13">
        <v>27</v>
      </c>
      <c r="B29" s="77" t="s">
        <v>725</v>
      </c>
      <c r="C29" s="4" t="s">
        <v>715</v>
      </c>
      <c r="D29" s="3"/>
      <c r="E29" s="15" t="s">
        <v>21</v>
      </c>
      <c r="F29" s="15"/>
      <c r="G29" s="15"/>
      <c r="H29" s="15" t="s">
        <v>515</v>
      </c>
      <c r="I29" s="15">
        <f t="shared" si="0"/>
        <v>6</v>
      </c>
      <c r="J29" s="15">
        <v>6</v>
      </c>
      <c r="K29" s="15" t="s">
        <v>513</v>
      </c>
      <c r="L29" s="15" t="s">
        <v>69</v>
      </c>
      <c r="M29" s="15" t="s">
        <v>68</v>
      </c>
      <c r="N29" s="15" t="s">
        <v>368</v>
      </c>
      <c r="O29" s="16" t="s">
        <v>115</v>
      </c>
      <c r="P29" s="16"/>
      <c r="Q29" s="16"/>
      <c r="R29" s="16"/>
      <c r="S29" s="16" t="s">
        <v>115</v>
      </c>
      <c r="T29" s="140">
        <v>25000</v>
      </c>
      <c r="U29" s="7">
        <f>SUMIF(Facturas!B:B,Tabla1[[#This Row],[ID]],Facturas!P:P)</f>
        <v>0</v>
      </c>
      <c r="V29" s="102">
        <f>Tabla1[[#This Row],[Aprobado
S/.]]/SUMIF(AB:AB,Tabla1[[#This Row],[Año Proy]],T:T)</f>
        <v>0</v>
      </c>
      <c r="W29" s="7">
        <f>SUMIFS(Facturas!P:P,Facturas!B:B,Tabla1[[#This Row],[ID]],Facturas!T:T,"Cancelado")</f>
        <v>0</v>
      </c>
      <c r="X29" s="102">
        <f>Tabla1[[#This Row],[Ejecutado
S/.]]/SUMIF(AB:AB,Tabla1[[#This Row],[Año Proy]],T:T)</f>
        <v>0</v>
      </c>
      <c r="Y29" s="7" t="str">
        <f>IF(Tabla1[[#This Row],[Aprobado
S/.]]&gt;0,"Aprobado","Pendiente")</f>
        <v>Pendiente</v>
      </c>
      <c r="Z29" s="124"/>
      <c r="AA29" s="124">
        <f>Tabla1[[#This Row],[Fecha aprobación]]-DAY(Tabla1[[#This Row],[Fecha aprobación]])+1</f>
        <v>1</v>
      </c>
      <c r="AB29" s="28">
        <v>2024</v>
      </c>
      <c r="AC29" s="28" t="s">
        <v>370</v>
      </c>
      <c r="AD29" s="78" t="s">
        <v>238</v>
      </c>
    </row>
    <row r="30" spans="1:30" hidden="1" x14ac:dyDescent="0.3">
      <c r="A30" s="13">
        <v>28</v>
      </c>
      <c r="B30" s="77" t="s">
        <v>726</v>
      </c>
      <c r="C30" s="4" t="s">
        <v>92</v>
      </c>
      <c r="D30" s="3"/>
      <c r="E30" s="15" t="s">
        <v>243</v>
      </c>
      <c r="F30" s="15"/>
      <c r="G30" s="15"/>
      <c r="H30" s="15" t="s">
        <v>139</v>
      </c>
      <c r="I30" s="15">
        <f t="shared" si="0"/>
        <v>4</v>
      </c>
      <c r="J30" s="15">
        <v>4</v>
      </c>
      <c r="K30" s="15" t="s">
        <v>730</v>
      </c>
      <c r="L30" s="15" t="s">
        <v>69</v>
      </c>
      <c r="M30" s="15" t="s">
        <v>68</v>
      </c>
      <c r="N30" s="15" t="s">
        <v>368</v>
      </c>
      <c r="O30" s="16"/>
      <c r="P30" s="16"/>
      <c r="Q30" s="16"/>
      <c r="R30" s="16"/>
      <c r="S30" s="16" t="s">
        <v>115</v>
      </c>
      <c r="T30" s="140">
        <v>20000</v>
      </c>
      <c r="U30" s="7">
        <f>SUMIF(Facturas!B:B,Tabla1[[#This Row],[ID]],Facturas!P:P)</f>
        <v>0</v>
      </c>
      <c r="V30" s="102">
        <f>Tabla1[[#This Row],[Aprobado
S/.]]/SUMIF(AB:AB,Tabla1[[#This Row],[Año Proy]],T:T)</f>
        <v>0</v>
      </c>
      <c r="W30" s="7">
        <f>SUMIFS(Facturas!P:P,Facturas!B:B,Tabla1[[#This Row],[ID]],Facturas!T:T,"Cancelado")</f>
        <v>0</v>
      </c>
      <c r="X30" s="102">
        <f>Tabla1[[#This Row],[Ejecutado
S/.]]/SUMIF(AB:AB,Tabla1[[#This Row],[Año Proy]],T:T)</f>
        <v>0</v>
      </c>
      <c r="Y30" s="7" t="str">
        <f>IF(Tabla1[[#This Row],[Aprobado
S/.]]&gt;0,"Aprobado","Pendiente")</f>
        <v>Pendiente</v>
      </c>
      <c r="Z30" s="124"/>
      <c r="AA30" s="124">
        <f>Tabla1[[#This Row],[Fecha aprobación]]-DAY(Tabla1[[#This Row],[Fecha aprobación]])+1</f>
        <v>1</v>
      </c>
      <c r="AB30" s="28">
        <v>2024</v>
      </c>
      <c r="AC30" s="28" t="s">
        <v>370</v>
      </c>
      <c r="AD30" s="78" t="s">
        <v>238</v>
      </c>
    </row>
    <row r="31" spans="1:30" hidden="1" x14ac:dyDescent="0.3">
      <c r="A31" s="13">
        <v>29</v>
      </c>
      <c r="B31" s="77" t="s">
        <v>727</v>
      </c>
      <c r="C31" s="4" t="s">
        <v>716</v>
      </c>
      <c r="D31" s="3"/>
      <c r="E31" s="15" t="s">
        <v>365</v>
      </c>
      <c r="F31" s="15"/>
      <c r="G31" s="15"/>
      <c r="H31" s="15" t="s">
        <v>138</v>
      </c>
      <c r="I31" s="15">
        <f t="shared" si="0"/>
        <v>2</v>
      </c>
      <c r="J31" s="15">
        <v>2</v>
      </c>
      <c r="K31" s="15"/>
      <c r="L31" s="15" t="s">
        <v>69</v>
      </c>
      <c r="M31" s="15" t="s">
        <v>68</v>
      </c>
      <c r="N31" s="15" t="s">
        <v>731</v>
      </c>
      <c r="O31" s="16"/>
      <c r="P31" s="16"/>
      <c r="Q31" s="16"/>
      <c r="R31" s="16" t="s">
        <v>115</v>
      </c>
      <c r="S31" s="16"/>
      <c r="T31" s="140">
        <v>15000</v>
      </c>
      <c r="U31" s="7">
        <f>SUMIF(Facturas!B:B,Tabla1[[#This Row],[ID]],Facturas!P:P)</f>
        <v>0</v>
      </c>
      <c r="V31" s="102">
        <f>Tabla1[[#This Row],[Aprobado
S/.]]/SUMIF(AB:AB,Tabla1[[#This Row],[Año Proy]],T:T)</f>
        <v>0</v>
      </c>
      <c r="W31" s="7">
        <f>SUMIFS(Facturas!P:P,Facturas!B:B,Tabla1[[#This Row],[ID]],Facturas!T:T,"Cancelado")</f>
        <v>0</v>
      </c>
      <c r="X31" s="102">
        <f>Tabla1[[#This Row],[Ejecutado
S/.]]/SUMIF(AB:AB,Tabla1[[#This Row],[Año Proy]],T:T)</f>
        <v>0</v>
      </c>
      <c r="Y31" s="7" t="str">
        <f>IF(Tabla1[[#This Row],[Aprobado
S/.]]&gt;0,"Aprobado","Pendiente")</f>
        <v>Pendiente</v>
      </c>
      <c r="Z31" s="124"/>
      <c r="AA31" s="124">
        <f>Tabla1[[#This Row],[Fecha aprobación]]-DAY(Tabla1[[#This Row],[Fecha aprobación]])+1</f>
        <v>1</v>
      </c>
      <c r="AB31" s="28">
        <v>2024</v>
      </c>
      <c r="AC31" s="28" t="s">
        <v>370</v>
      </c>
      <c r="AD31" s="78" t="s">
        <v>238</v>
      </c>
    </row>
    <row r="32" spans="1:30" hidden="1" x14ac:dyDescent="0.3">
      <c r="A32" s="13">
        <v>30</v>
      </c>
      <c r="B32" s="77" t="s">
        <v>728</v>
      </c>
      <c r="C32" s="4" t="s">
        <v>717</v>
      </c>
      <c r="D32" s="3"/>
      <c r="E32" s="15" t="s">
        <v>365</v>
      </c>
      <c r="F32" s="15"/>
      <c r="G32" s="15"/>
      <c r="H32" s="15" t="s">
        <v>139</v>
      </c>
      <c r="I32" s="15">
        <f t="shared" si="0"/>
        <v>4</v>
      </c>
      <c r="J32" s="15">
        <v>4</v>
      </c>
      <c r="K32" s="15"/>
      <c r="L32" s="15" t="s">
        <v>69</v>
      </c>
      <c r="M32" s="15" t="s">
        <v>68</v>
      </c>
      <c r="N32" s="15" t="s">
        <v>368</v>
      </c>
      <c r="O32" s="16" t="s">
        <v>115</v>
      </c>
      <c r="P32" s="16"/>
      <c r="Q32" s="16"/>
      <c r="R32" s="16"/>
      <c r="S32" s="16" t="s">
        <v>115</v>
      </c>
      <c r="T32" s="140">
        <v>15000</v>
      </c>
      <c r="U32" s="7">
        <f>SUMIF(Facturas!B:B,Tabla1[[#This Row],[ID]],Facturas!P:P)</f>
        <v>0</v>
      </c>
      <c r="V32" s="102">
        <f>Tabla1[[#This Row],[Aprobado
S/.]]/SUMIF(AB:AB,Tabla1[[#This Row],[Año Proy]],T:T)</f>
        <v>0</v>
      </c>
      <c r="W32" s="7">
        <f>SUMIFS(Facturas!P:P,Facturas!B:B,Tabla1[[#This Row],[ID]],Facturas!T:T,"Cancelado")</f>
        <v>0</v>
      </c>
      <c r="X32" s="102">
        <f>Tabla1[[#This Row],[Ejecutado
S/.]]/SUMIF(AB:AB,Tabla1[[#This Row],[Año Proy]],T:T)</f>
        <v>0</v>
      </c>
      <c r="Y32" s="7" t="str">
        <f>IF(Tabla1[[#This Row],[Aprobado
S/.]]&gt;0,"Aprobado","Pendiente")</f>
        <v>Pendiente</v>
      </c>
      <c r="Z32" s="124"/>
      <c r="AA32" s="124">
        <f>Tabla1[[#This Row],[Fecha aprobación]]-DAY(Tabla1[[#This Row],[Fecha aprobación]])+1</f>
        <v>1</v>
      </c>
      <c r="AB32" s="28">
        <v>2024</v>
      </c>
      <c r="AC32" s="28" t="s">
        <v>370</v>
      </c>
      <c r="AD32" s="78" t="s">
        <v>238</v>
      </c>
    </row>
    <row r="33" spans="1:30" hidden="1" x14ac:dyDescent="0.3">
      <c r="A33" s="13">
        <v>31</v>
      </c>
      <c r="B33" s="77" t="s">
        <v>729</v>
      </c>
      <c r="C33" s="4" t="s">
        <v>718</v>
      </c>
      <c r="D33" s="3"/>
      <c r="E33" s="15" t="s">
        <v>365</v>
      </c>
      <c r="F33" s="15"/>
      <c r="G33" s="15"/>
      <c r="H33" s="15" t="s">
        <v>139</v>
      </c>
      <c r="I33" s="15">
        <f t="shared" si="0"/>
        <v>4</v>
      </c>
      <c r="J33" s="15">
        <v>4</v>
      </c>
      <c r="K33" s="15" t="s">
        <v>374</v>
      </c>
      <c r="L33" s="15" t="s">
        <v>69</v>
      </c>
      <c r="M33" s="15" t="s">
        <v>68</v>
      </c>
      <c r="N33" s="15" t="s">
        <v>532</v>
      </c>
      <c r="O33" s="16"/>
      <c r="P33" s="16"/>
      <c r="Q33" s="16"/>
      <c r="R33" s="16"/>
      <c r="S33" s="16" t="s">
        <v>115</v>
      </c>
      <c r="T33" s="140">
        <v>20000</v>
      </c>
      <c r="U33" s="7">
        <f>SUMIF(Facturas!B:B,Tabla1[[#This Row],[ID]],Facturas!P:P)</f>
        <v>0</v>
      </c>
      <c r="V33" s="102">
        <f>Tabla1[[#This Row],[Aprobado
S/.]]/SUMIF(AB:AB,Tabla1[[#This Row],[Año Proy]],T:T)</f>
        <v>0</v>
      </c>
      <c r="W33" s="7">
        <f>SUMIFS(Facturas!P:P,Facturas!B:B,Tabla1[[#This Row],[ID]],Facturas!T:T,"Cancelado")</f>
        <v>0</v>
      </c>
      <c r="X33" s="102">
        <f>Tabla1[[#This Row],[Ejecutado
S/.]]/SUMIF(AB:AB,Tabla1[[#This Row],[Año Proy]],T:T)</f>
        <v>0</v>
      </c>
      <c r="Y33" s="7" t="str">
        <f>IF(Tabla1[[#This Row],[Aprobado
S/.]]&gt;0,"Aprobado","Pendiente")</f>
        <v>Pendiente</v>
      </c>
      <c r="Z33" s="124"/>
      <c r="AA33" s="124">
        <f>Tabla1[[#This Row],[Fecha aprobación]]-DAY(Tabla1[[#This Row],[Fecha aprobación]])+1</f>
        <v>1</v>
      </c>
      <c r="AB33" s="28">
        <v>2024</v>
      </c>
      <c r="AC33" s="28" t="s">
        <v>370</v>
      </c>
      <c r="AD33" s="78" t="s">
        <v>238</v>
      </c>
    </row>
    <row r="34" spans="1:30" hidden="1" x14ac:dyDescent="0.3">
      <c r="B34" s="77"/>
      <c r="C34" s="4"/>
      <c r="D34" s="3"/>
      <c r="E34" s="15"/>
      <c r="F34" s="15"/>
      <c r="G34" s="15"/>
      <c r="H34" s="15"/>
      <c r="I34" s="15">
        <f t="shared" si="0"/>
        <v>0</v>
      </c>
      <c r="J34" s="15"/>
      <c r="K34" s="15"/>
      <c r="L34" s="15"/>
      <c r="M34" s="15" t="s">
        <v>68</v>
      </c>
      <c r="N34" s="15"/>
      <c r="O34" s="16"/>
      <c r="P34" s="16"/>
      <c r="Q34" s="16"/>
      <c r="R34" s="16"/>
      <c r="S34" s="16"/>
      <c r="T34" s="7"/>
      <c r="U34" s="7">
        <f>SUMIF(Facturas!B:B,Tabla1[[#This Row],[ID]],Facturas!P:P)</f>
        <v>0</v>
      </c>
      <c r="V34" s="102" t="e">
        <f>Tabla1[[#This Row],[Aprobado
S/.]]/SUMIF(AB:AB,Tabla1[[#This Row],[Año Proy]],T:T)</f>
        <v>#DIV/0!</v>
      </c>
      <c r="W34" s="7">
        <f>SUMIFS(Facturas!P:P,Facturas!B:B,Tabla1[[#This Row],[ID]],Facturas!T:T,"Cancelado")</f>
        <v>0</v>
      </c>
      <c r="X34" s="102" t="e">
        <f>Tabla1[[#This Row],[Ejecutado
S/.]]/SUMIF(AB:AB,Tabla1[[#This Row],[Año Proy]],T:T)</f>
        <v>#DIV/0!</v>
      </c>
      <c r="Y34" s="7" t="str">
        <f>IF(Tabla1[[#This Row],[Aprobado
S/.]]&gt;0,"Aprobado","Pendiente")</f>
        <v>Pendiente</v>
      </c>
      <c r="Z34" s="124"/>
      <c r="AA34" s="124">
        <f>Tabla1[[#This Row],[Fecha aprobación]]-DAY(Tabla1[[#This Row],[Fecha aprobación]])+1</f>
        <v>1</v>
      </c>
      <c r="AB34" s="28"/>
      <c r="AC34" s="28"/>
      <c r="AD34" s="78"/>
    </row>
    <row r="35" spans="1:30" hidden="1" x14ac:dyDescent="0.3">
      <c r="B35" s="77"/>
      <c r="C35" s="4"/>
      <c r="D35" s="3"/>
      <c r="E35" s="15"/>
      <c r="F35" s="15"/>
      <c r="G35" s="15"/>
      <c r="H35" s="15"/>
      <c r="I35" s="15">
        <f t="shared" ref="I35:I73" si="1">IF(H35="S",1,IF(H35="M",2,IF(H35="L",4,IF(H35="XL",6,0))))</f>
        <v>0</v>
      </c>
      <c r="J35" s="15"/>
      <c r="K35" s="15"/>
      <c r="L35" s="15"/>
      <c r="M35" s="15" t="s">
        <v>68</v>
      </c>
      <c r="N35" s="15"/>
      <c r="O35" s="16"/>
      <c r="P35" s="16"/>
      <c r="Q35" s="16"/>
      <c r="R35" s="16"/>
      <c r="S35" s="16"/>
      <c r="T35" s="27"/>
      <c r="U35" s="27">
        <f>SUMIF(Facturas!B:B,Tabla1[[#This Row],[ID]],Facturas!P:P)</f>
        <v>0</v>
      </c>
      <c r="V35" s="103" t="e">
        <f>Tabla1[[#This Row],[Aprobado
S/.]]/SUMIF(AB:AB,Tabla1[[#This Row],[Año Proy]],T:T)</f>
        <v>#DIV/0!</v>
      </c>
      <c r="W35" s="7">
        <f>SUMIFS(Facturas!P:P,Facturas!B:B,Tabla1[[#This Row],[ID]],Facturas!T:T,"Cancelado")</f>
        <v>0</v>
      </c>
      <c r="X35" s="102" t="e">
        <f>Tabla1[[#This Row],[Ejecutado
S/.]]/SUMIF(AB:AB,Tabla1[[#This Row],[Año Proy]],T:T)</f>
        <v>#DIV/0!</v>
      </c>
      <c r="Y35" s="7" t="str">
        <f>IF(Tabla1[[#This Row],[Aprobado
S/.]]&gt;0,"Aprobado","Pendiente")</f>
        <v>Pendiente</v>
      </c>
      <c r="Z35" s="124"/>
      <c r="AA35" s="124">
        <f>Tabla1[[#This Row],[Fecha aprobación]]-DAY(Tabla1[[#This Row],[Fecha aprobación]])+1</f>
        <v>1</v>
      </c>
      <c r="AB35" s="28"/>
      <c r="AC35" s="28"/>
      <c r="AD35" s="78"/>
    </row>
    <row r="36" spans="1:30" hidden="1" x14ac:dyDescent="0.3">
      <c r="B36" s="77"/>
      <c r="C36" s="4"/>
      <c r="D36" s="3"/>
      <c r="E36" s="15"/>
      <c r="F36" s="15"/>
      <c r="G36" s="15"/>
      <c r="H36" s="15"/>
      <c r="I36" s="15">
        <f t="shared" si="1"/>
        <v>0</v>
      </c>
      <c r="J36" s="15"/>
      <c r="K36" s="15"/>
      <c r="L36" s="15"/>
      <c r="M36" s="15" t="s">
        <v>68</v>
      </c>
      <c r="N36" s="15"/>
      <c r="O36" s="16"/>
      <c r="P36" s="16"/>
      <c r="Q36" s="16"/>
      <c r="R36" s="16"/>
      <c r="S36" s="16"/>
      <c r="T36" s="7"/>
      <c r="U36" s="7">
        <f>SUMIF(Facturas!B:B,Tabla1[[#This Row],[ID]],Facturas!P:P)</f>
        <v>0</v>
      </c>
      <c r="V36" s="102" t="e">
        <f>Tabla1[[#This Row],[Aprobado
S/.]]/SUMIF(AB:AB,Tabla1[[#This Row],[Año Proy]],T:T)</f>
        <v>#DIV/0!</v>
      </c>
      <c r="W36" s="7">
        <f>SUMIFS(Facturas!P:P,Facturas!B:B,Tabla1[[#This Row],[ID]],Facturas!T:T,"Cancelado")</f>
        <v>0</v>
      </c>
      <c r="X36" s="102" t="e">
        <f>Tabla1[[#This Row],[Ejecutado
S/.]]/SUMIF(AB:AB,Tabla1[[#This Row],[Año Proy]],T:T)</f>
        <v>#DIV/0!</v>
      </c>
      <c r="Y36" s="7" t="str">
        <f>IF(Tabla1[[#This Row],[Aprobado
S/.]]&gt;0,"Aprobado","Pendiente")</f>
        <v>Pendiente</v>
      </c>
      <c r="Z36" s="124"/>
      <c r="AA36" s="124">
        <f>Tabla1[[#This Row],[Fecha aprobación]]-DAY(Tabla1[[#This Row],[Fecha aprobación]])+1</f>
        <v>1</v>
      </c>
      <c r="AB36" s="28"/>
      <c r="AC36" s="28"/>
      <c r="AD36" s="78"/>
    </row>
    <row r="37" spans="1:30" hidden="1" x14ac:dyDescent="0.3">
      <c r="B37" s="77"/>
      <c r="C37" s="4"/>
      <c r="D37" s="3"/>
      <c r="E37" s="15"/>
      <c r="F37" s="15"/>
      <c r="G37" s="15"/>
      <c r="H37" s="15"/>
      <c r="I37" s="15">
        <f t="shared" si="1"/>
        <v>0</v>
      </c>
      <c r="J37" s="15"/>
      <c r="K37" s="15"/>
      <c r="L37" s="15"/>
      <c r="M37" s="15" t="s">
        <v>68</v>
      </c>
      <c r="N37" s="15"/>
      <c r="O37" s="16"/>
      <c r="P37" s="16"/>
      <c r="Q37" s="16"/>
      <c r="R37" s="16"/>
      <c r="S37" s="16"/>
      <c r="T37" s="7"/>
      <c r="U37" s="7">
        <f>SUMIF(Facturas!B:B,Tabla1[[#This Row],[ID]],Facturas!P:P)</f>
        <v>0</v>
      </c>
      <c r="V37" s="102" t="e">
        <f>Tabla1[[#This Row],[Aprobado
S/.]]/SUMIF(AB:AB,Tabla1[[#This Row],[Año Proy]],T:T)</f>
        <v>#DIV/0!</v>
      </c>
      <c r="W37" s="7">
        <f>SUMIFS(Facturas!P:P,Facturas!B:B,Tabla1[[#This Row],[ID]],Facturas!T:T,"Cancelado")</f>
        <v>0</v>
      </c>
      <c r="X37" s="102" t="e">
        <f>Tabla1[[#This Row],[Ejecutado
S/.]]/SUMIF(AB:AB,Tabla1[[#This Row],[Año Proy]],T:T)</f>
        <v>#DIV/0!</v>
      </c>
      <c r="Y37" s="7" t="str">
        <f>IF(Tabla1[[#This Row],[Aprobado
S/.]]&gt;0,"Aprobado","Pendiente")</f>
        <v>Pendiente</v>
      </c>
      <c r="Z37" s="124"/>
      <c r="AA37" s="124">
        <f>Tabla1[[#This Row],[Fecha aprobación]]-DAY(Tabla1[[#This Row],[Fecha aprobación]])+1</f>
        <v>1</v>
      </c>
      <c r="AB37" s="28"/>
      <c r="AC37" s="28"/>
      <c r="AD37" s="78"/>
    </row>
    <row r="38" spans="1:30" hidden="1" x14ac:dyDescent="0.3">
      <c r="B38" s="77"/>
      <c r="C38" s="4"/>
      <c r="D38" s="3"/>
      <c r="E38" s="15"/>
      <c r="F38" s="15"/>
      <c r="G38" s="15"/>
      <c r="H38" s="15"/>
      <c r="I38" s="15">
        <f t="shared" si="1"/>
        <v>0</v>
      </c>
      <c r="J38" s="15"/>
      <c r="K38" s="15"/>
      <c r="L38" s="15"/>
      <c r="M38" s="15" t="s">
        <v>68</v>
      </c>
      <c r="N38" s="15"/>
      <c r="O38" s="16"/>
      <c r="P38" s="16"/>
      <c r="Q38" s="16"/>
      <c r="R38" s="16"/>
      <c r="S38" s="16"/>
      <c r="T38" s="7"/>
      <c r="U38" s="7">
        <f>SUMIF(Facturas!B:B,Tabla1[[#This Row],[ID]],Facturas!P:P)</f>
        <v>0</v>
      </c>
      <c r="V38" s="102" t="e">
        <f>Tabla1[[#This Row],[Aprobado
S/.]]/SUMIF(AB:AB,Tabla1[[#This Row],[Año Proy]],T:T)</f>
        <v>#DIV/0!</v>
      </c>
      <c r="W38" s="7">
        <f>SUMIFS(Facturas!P:P,Facturas!B:B,Tabla1[[#This Row],[ID]],Facturas!T:T,"Cancelado")</f>
        <v>0</v>
      </c>
      <c r="X38" s="102" t="e">
        <f>Tabla1[[#This Row],[Ejecutado
S/.]]/SUMIF(AB:AB,Tabla1[[#This Row],[Año Proy]],T:T)</f>
        <v>#DIV/0!</v>
      </c>
      <c r="Y38" s="7" t="str">
        <f>IF(Tabla1[[#This Row],[Aprobado
S/.]]&gt;0,"Aprobado","Pendiente")</f>
        <v>Pendiente</v>
      </c>
      <c r="Z38" s="124"/>
      <c r="AA38" s="124">
        <f>Tabla1[[#This Row],[Fecha aprobación]]-DAY(Tabla1[[#This Row],[Fecha aprobación]])+1</f>
        <v>1</v>
      </c>
      <c r="AB38" s="28"/>
      <c r="AC38" s="28"/>
      <c r="AD38" s="78"/>
    </row>
    <row r="39" spans="1:30" hidden="1" x14ac:dyDescent="0.3">
      <c r="B39" s="77"/>
      <c r="C39" s="4"/>
      <c r="D39" s="3"/>
      <c r="E39" s="15"/>
      <c r="F39" s="15"/>
      <c r="G39" s="15"/>
      <c r="H39" s="15"/>
      <c r="I39" s="15">
        <f t="shared" si="1"/>
        <v>0</v>
      </c>
      <c r="J39" s="15"/>
      <c r="K39" s="15"/>
      <c r="L39" s="15"/>
      <c r="M39" s="15" t="s">
        <v>68</v>
      </c>
      <c r="N39" s="15"/>
      <c r="O39" s="16"/>
      <c r="P39" s="16"/>
      <c r="Q39" s="16"/>
      <c r="R39" s="16"/>
      <c r="S39" s="16"/>
      <c r="T39" s="7"/>
      <c r="U39" s="7">
        <f>SUMIF(Facturas!B:B,Tabla1[[#This Row],[ID]],Facturas!P:P)</f>
        <v>0</v>
      </c>
      <c r="V39" s="102" t="e">
        <f>Tabla1[[#This Row],[Aprobado
S/.]]/SUMIF(AB:AB,Tabla1[[#This Row],[Año Proy]],T:T)</f>
        <v>#DIV/0!</v>
      </c>
      <c r="W39" s="7">
        <f>SUMIFS(Facturas!P:P,Facturas!B:B,Tabla1[[#This Row],[ID]],Facturas!T:T,"Cancelado")</f>
        <v>0</v>
      </c>
      <c r="X39" s="102" t="e">
        <f>Tabla1[[#This Row],[Ejecutado
S/.]]/SUMIF(AB:AB,Tabla1[[#This Row],[Año Proy]],T:T)</f>
        <v>#DIV/0!</v>
      </c>
      <c r="Y39" s="7" t="str">
        <f>IF(Tabla1[[#This Row],[Aprobado
S/.]]&gt;0,"Aprobado","Pendiente")</f>
        <v>Pendiente</v>
      </c>
      <c r="Z39" s="124"/>
      <c r="AA39" s="124">
        <f>Tabla1[[#This Row],[Fecha aprobación]]-DAY(Tabla1[[#This Row],[Fecha aprobación]])+1</f>
        <v>1</v>
      </c>
      <c r="AB39" s="28"/>
      <c r="AC39" s="28"/>
      <c r="AD39" s="78"/>
    </row>
    <row r="40" spans="1:30" hidden="1" x14ac:dyDescent="0.3">
      <c r="B40" s="77"/>
      <c r="C40" s="4"/>
      <c r="D40" s="3"/>
      <c r="E40" s="15"/>
      <c r="F40" s="15"/>
      <c r="G40" s="15"/>
      <c r="H40" s="15"/>
      <c r="I40" s="15">
        <f t="shared" si="1"/>
        <v>0</v>
      </c>
      <c r="J40" s="15"/>
      <c r="K40" s="15"/>
      <c r="L40" s="15"/>
      <c r="M40" s="15" t="s">
        <v>68</v>
      </c>
      <c r="N40" s="15"/>
      <c r="O40" s="16"/>
      <c r="P40" s="16"/>
      <c r="Q40" s="16"/>
      <c r="R40" s="16"/>
      <c r="S40" s="16"/>
      <c r="T40" s="7"/>
      <c r="U40" s="7">
        <f>SUMIF(Facturas!B:B,Tabla1[[#This Row],[ID]],Facturas!P:P)</f>
        <v>0</v>
      </c>
      <c r="V40" s="102" t="e">
        <f>Tabla1[[#This Row],[Aprobado
S/.]]/SUMIF(AB:AB,Tabla1[[#This Row],[Año Proy]],T:T)</f>
        <v>#DIV/0!</v>
      </c>
      <c r="W40" s="7">
        <f>SUMIFS(Facturas!P:P,Facturas!B:B,Tabla1[[#This Row],[ID]],Facturas!T:T,"Cancelado")</f>
        <v>0</v>
      </c>
      <c r="X40" s="102" t="e">
        <f>Tabla1[[#This Row],[Ejecutado
S/.]]/SUMIF(AB:AB,Tabla1[[#This Row],[Año Proy]],T:T)</f>
        <v>#DIV/0!</v>
      </c>
      <c r="Y40" s="7" t="str">
        <f>IF(Tabla1[[#This Row],[Aprobado
S/.]]&gt;0,"Aprobado","Pendiente")</f>
        <v>Pendiente</v>
      </c>
      <c r="Z40" s="124"/>
      <c r="AA40" s="124">
        <f>Tabla1[[#This Row],[Fecha aprobación]]-DAY(Tabla1[[#This Row],[Fecha aprobación]])+1</f>
        <v>1</v>
      </c>
      <c r="AB40" s="28"/>
      <c r="AC40" s="28"/>
      <c r="AD40" s="78"/>
    </row>
    <row r="41" spans="1:30" hidden="1" x14ac:dyDescent="0.3">
      <c r="B41" s="77"/>
      <c r="C41" s="4"/>
      <c r="D41" s="3"/>
      <c r="E41" s="15"/>
      <c r="F41" s="15"/>
      <c r="G41" s="15"/>
      <c r="H41" s="15"/>
      <c r="I41" s="15">
        <f t="shared" si="1"/>
        <v>0</v>
      </c>
      <c r="J41" s="15"/>
      <c r="K41" s="15"/>
      <c r="L41" s="15"/>
      <c r="M41" s="15" t="s">
        <v>68</v>
      </c>
      <c r="N41" s="15"/>
      <c r="O41" s="16"/>
      <c r="P41" s="16"/>
      <c r="Q41" s="16"/>
      <c r="R41" s="16"/>
      <c r="S41" s="16"/>
      <c r="T41" s="7"/>
      <c r="U41" s="7">
        <f>SUMIF(Facturas!B:B,Tabla1[[#This Row],[ID]],Facturas!P:P)</f>
        <v>0</v>
      </c>
      <c r="V41" s="102" t="e">
        <f>Tabla1[[#This Row],[Aprobado
S/.]]/SUMIF(AB:AB,Tabla1[[#This Row],[Año Proy]],T:T)</f>
        <v>#DIV/0!</v>
      </c>
      <c r="W41" s="7">
        <f>SUMIFS(Facturas!P:P,Facturas!B:B,Tabla1[[#This Row],[ID]],Facturas!T:T,"Cancelado")</f>
        <v>0</v>
      </c>
      <c r="X41" s="102" t="e">
        <f>Tabla1[[#This Row],[Ejecutado
S/.]]/SUMIF(AB:AB,Tabla1[[#This Row],[Año Proy]],T:T)</f>
        <v>#DIV/0!</v>
      </c>
      <c r="Y41" s="7" t="str">
        <f>IF(Tabla1[[#This Row],[Aprobado
S/.]]&gt;0,"Aprobado","Pendiente")</f>
        <v>Pendiente</v>
      </c>
      <c r="Z41" s="124"/>
      <c r="AA41" s="124">
        <f>Tabla1[[#This Row],[Fecha aprobación]]-DAY(Tabla1[[#This Row],[Fecha aprobación]])+1</f>
        <v>1</v>
      </c>
      <c r="AB41" s="28"/>
      <c r="AC41" s="28"/>
      <c r="AD41" s="78"/>
    </row>
    <row r="42" spans="1:30" hidden="1" x14ac:dyDescent="0.3">
      <c r="B42" s="77"/>
      <c r="C42" s="4"/>
      <c r="D42" s="3"/>
      <c r="E42" s="15"/>
      <c r="F42" s="15"/>
      <c r="G42" s="15"/>
      <c r="H42" s="15"/>
      <c r="I42" s="15">
        <f t="shared" si="1"/>
        <v>0</v>
      </c>
      <c r="J42" s="15"/>
      <c r="K42" s="15"/>
      <c r="L42" s="15"/>
      <c r="M42" s="15" t="s">
        <v>68</v>
      </c>
      <c r="N42" s="15"/>
      <c r="O42" s="16"/>
      <c r="P42" s="16"/>
      <c r="Q42" s="16"/>
      <c r="R42" s="16"/>
      <c r="S42" s="16"/>
      <c r="T42" s="7"/>
      <c r="U42" s="7">
        <f>SUMIF(Facturas!B:B,Tabla1[[#This Row],[ID]],Facturas!P:P)</f>
        <v>0</v>
      </c>
      <c r="V42" s="102" t="e">
        <f>Tabla1[[#This Row],[Aprobado
S/.]]/SUMIF(AB:AB,Tabla1[[#This Row],[Año Proy]],T:T)</f>
        <v>#DIV/0!</v>
      </c>
      <c r="W42" s="7">
        <f>SUMIFS(Facturas!P:P,Facturas!B:B,Tabla1[[#This Row],[ID]],Facturas!T:T,"Cancelado")</f>
        <v>0</v>
      </c>
      <c r="X42" s="102" t="e">
        <f>Tabla1[[#This Row],[Ejecutado
S/.]]/SUMIF(AB:AB,Tabla1[[#This Row],[Año Proy]],T:T)</f>
        <v>#DIV/0!</v>
      </c>
      <c r="Y42" s="7" t="str">
        <f>IF(Tabla1[[#This Row],[Aprobado
S/.]]&gt;0,"Aprobado","Pendiente")</f>
        <v>Pendiente</v>
      </c>
      <c r="Z42" s="124"/>
      <c r="AA42" s="124">
        <f>Tabla1[[#This Row],[Fecha aprobación]]-DAY(Tabla1[[#This Row],[Fecha aprobación]])+1</f>
        <v>1</v>
      </c>
      <c r="AB42" s="28"/>
      <c r="AC42" s="28"/>
      <c r="AD42" s="78"/>
    </row>
    <row r="43" spans="1:30" hidden="1" x14ac:dyDescent="0.3">
      <c r="B43" s="77"/>
      <c r="C43" s="4"/>
      <c r="D43" s="3"/>
      <c r="E43" s="15"/>
      <c r="F43" s="15"/>
      <c r="G43" s="15"/>
      <c r="H43" s="15"/>
      <c r="I43" s="15">
        <f t="shared" si="1"/>
        <v>0</v>
      </c>
      <c r="J43" s="15"/>
      <c r="K43" s="15"/>
      <c r="L43" s="15"/>
      <c r="M43" s="15" t="s">
        <v>68</v>
      </c>
      <c r="N43" s="15"/>
      <c r="O43" s="16"/>
      <c r="P43" s="16"/>
      <c r="Q43" s="16"/>
      <c r="R43" s="16"/>
      <c r="S43" s="16"/>
      <c r="T43" s="7"/>
      <c r="U43" s="7">
        <f>SUMIF(Facturas!B:B,Tabla1[[#This Row],[ID]],Facturas!P:P)</f>
        <v>0</v>
      </c>
      <c r="V43" s="102" t="e">
        <f>Tabla1[[#This Row],[Aprobado
S/.]]/SUMIF(AB:AB,Tabla1[[#This Row],[Año Proy]],T:T)</f>
        <v>#DIV/0!</v>
      </c>
      <c r="W43" s="7">
        <f>SUMIFS(Facturas!P:P,Facturas!B:B,Tabla1[[#This Row],[ID]],Facturas!T:T,"Cancelado")</f>
        <v>0</v>
      </c>
      <c r="X43" s="102" t="e">
        <f>Tabla1[[#This Row],[Ejecutado
S/.]]/SUMIF(AB:AB,Tabla1[[#This Row],[Año Proy]],T:T)</f>
        <v>#DIV/0!</v>
      </c>
      <c r="Y43" s="7" t="str">
        <f>IF(Tabla1[[#This Row],[Aprobado
S/.]]&gt;0,"Aprobado","Pendiente")</f>
        <v>Pendiente</v>
      </c>
      <c r="Z43" s="124"/>
      <c r="AA43" s="124">
        <f>Tabla1[[#This Row],[Fecha aprobación]]-DAY(Tabla1[[#This Row],[Fecha aprobación]])+1</f>
        <v>1</v>
      </c>
      <c r="AB43" s="28"/>
      <c r="AC43" s="28"/>
      <c r="AD43" s="78"/>
    </row>
    <row r="44" spans="1:30" hidden="1" x14ac:dyDescent="0.3">
      <c r="B44" s="77"/>
      <c r="C44" s="4"/>
      <c r="D44" s="3"/>
      <c r="E44" s="15"/>
      <c r="F44" s="15"/>
      <c r="G44" s="15"/>
      <c r="H44" s="15"/>
      <c r="I44" s="15">
        <f t="shared" si="1"/>
        <v>0</v>
      </c>
      <c r="J44" s="15"/>
      <c r="K44" s="15"/>
      <c r="L44" s="15"/>
      <c r="M44" s="15" t="s">
        <v>68</v>
      </c>
      <c r="N44" s="15"/>
      <c r="O44" s="16"/>
      <c r="P44" s="16"/>
      <c r="Q44" s="16"/>
      <c r="R44" s="16"/>
      <c r="S44" s="16"/>
      <c r="T44" s="7"/>
      <c r="U44" s="7">
        <f>SUMIF(Facturas!B:B,Tabla1[[#This Row],[ID]],Facturas!P:P)</f>
        <v>0</v>
      </c>
      <c r="V44" s="102" t="e">
        <f>Tabla1[[#This Row],[Aprobado
S/.]]/SUMIF(AB:AB,Tabla1[[#This Row],[Año Proy]],T:T)</f>
        <v>#DIV/0!</v>
      </c>
      <c r="W44" s="7">
        <f>SUMIFS(Facturas!P:P,Facturas!B:B,Tabla1[[#This Row],[ID]],Facturas!T:T,"Cancelado")</f>
        <v>0</v>
      </c>
      <c r="X44" s="102" t="e">
        <f>Tabla1[[#This Row],[Ejecutado
S/.]]/SUMIF(AB:AB,Tabla1[[#This Row],[Año Proy]],T:T)</f>
        <v>#DIV/0!</v>
      </c>
      <c r="Y44" s="7" t="str">
        <f>IF(Tabla1[[#This Row],[Aprobado
S/.]]&gt;0,"Aprobado","Pendiente")</f>
        <v>Pendiente</v>
      </c>
      <c r="Z44" s="124"/>
      <c r="AA44" s="124">
        <f>Tabla1[[#This Row],[Fecha aprobación]]-DAY(Tabla1[[#This Row],[Fecha aprobación]])+1</f>
        <v>1</v>
      </c>
      <c r="AB44" s="28"/>
      <c r="AC44" s="28"/>
      <c r="AD44" s="78"/>
    </row>
    <row r="45" spans="1:30" hidden="1" x14ac:dyDescent="0.3">
      <c r="B45" s="77"/>
      <c r="C45" s="4"/>
      <c r="D45" s="3"/>
      <c r="E45" s="15"/>
      <c r="F45" s="15"/>
      <c r="G45" s="15"/>
      <c r="H45" s="15"/>
      <c r="I45" s="15">
        <f t="shared" si="1"/>
        <v>0</v>
      </c>
      <c r="J45" s="15"/>
      <c r="K45" s="15"/>
      <c r="L45" s="15"/>
      <c r="M45" s="15" t="s">
        <v>68</v>
      </c>
      <c r="N45" s="15"/>
      <c r="O45" s="16"/>
      <c r="P45" s="16"/>
      <c r="Q45" s="16"/>
      <c r="R45" s="16"/>
      <c r="S45" s="16"/>
      <c r="T45" s="7"/>
      <c r="U45" s="7">
        <f>SUMIF(Facturas!B:B,Tabla1[[#This Row],[ID]],Facturas!P:P)</f>
        <v>0</v>
      </c>
      <c r="V45" s="102" t="e">
        <f>Tabla1[[#This Row],[Aprobado
S/.]]/SUMIF(AB:AB,Tabla1[[#This Row],[Año Proy]],T:T)</f>
        <v>#DIV/0!</v>
      </c>
      <c r="W45" s="7">
        <f>SUMIFS(Facturas!P:P,Facturas!B:B,Tabla1[[#This Row],[ID]],Facturas!T:T,"Cancelado")</f>
        <v>0</v>
      </c>
      <c r="X45" s="102" t="e">
        <f>Tabla1[[#This Row],[Ejecutado
S/.]]/SUMIF(AB:AB,Tabla1[[#This Row],[Año Proy]],T:T)</f>
        <v>#DIV/0!</v>
      </c>
      <c r="Y45" s="7" t="str">
        <f>IF(Tabla1[[#This Row],[Aprobado
S/.]]&gt;0,"Aprobado","Pendiente")</f>
        <v>Pendiente</v>
      </c>
      <c r="Z45" s="124"/>
      <c r="AA45" s="124">
        <f>Tabla1[[#This Row],[Fecha aprobación]]-DAY(Tabla1[[#This Row],[Fecha aprobación]])+1</f>
        <v>1</v>
      </c>
      <c r="AB45" s="28"/>
      <c r="AC45" s="28"/>
      <c r="AD45" s="78"/>
    </row>
    <row r="46" spans="1:30" hidden="1" x14ac:dyDescent="0.3">
      <c r="B46" s="77"/>
      <c r="C46" s="4"/>
      <c r="D46" s="3"/>
      <c r="E46" s="15"/>
      <c r="F46" s="15"/>
      <c r="G46" s="15"/>
      <c r="H46" s="15"/>
      <c r="I46" s="15">
        <f t="shared" si="1"/>
        <v>0</v>
      </c>
      <c r="J46" s="15"/>
      <c r="K46" s="15"/>
      <c r="L46" s="15"/>
      <c r="M46" s="15" t="s">
        <v>68</v>
      </c>
      <c r="N46" s="15"/>
      <c r="O46" s="16"/>
      <c r="P46" s="16"/>
      <c r="Q46" s="16"/>
      <c r="R46" s="16"/>
      <c r="S46" s="16"/>
      <c r="T46" s="7"/>
      <c r="U46" s="7">
        <f>SUMIF(Facturas!B:B,Tabla1[[#This Row],[ID]],Facturas!P:P)</f>
        <v>0</v>
      </c>
      <c r="V46" s="102" t="e">
        <f>Tabla1[[#This Row],[Aprobado
S/.]]/SUMIF(AB:AB,Tabla1[[#This Row],[Año Proy]],T:T)</f>
        <v>#DIV/0!</v>
      </c>
      <c r="W46" s="7">
        <f>SUMIFS(Facturas!P:P,Facturas!B:B,Tabla1[[#This Row],[ID]],Facturas!T:T,"Cancelado")</f>
        <v>0</v>
      </c>
      <c r="X46" s="102" t="e">
        <f>Tabla1[[#This Row],[Ejecutado
S/.]]/SUMIF(AB:AB,Tabla1[[#This Row],[Año Proy]],T:T)</f>
        <v>#DIV/0!</v>
      </c>
      <c r="Y46" s="7" t="str">
        <f>IF(Tabla1[[#This Row],[Aprobado
S/.]]&gt;0,"Aprobado","Pendiente")</f>
        <v>Pendiente</v>
      </c>
      <c r="Z46" s="124"/>
      <c r="AA46" s="124">
        <f>Tabla1[[#This Row],[Fecha aprobación]]-DAY(Tabla1[[#This Row],[Fecha aprobación]])+1</f>
        <v>1</v>
      </c>
      <c r="AB46" s="28"/>
      <c r="AC46" s="28"/>
      <c r="AD46" s="78"/>
    </row>
    <row r="47" spans="1:30" hidden="1" x14ac:dyDescent="0.3">
      <c r="B47" s="77"/>
      <c r="C47" s="4"/>
      <c r="D47" s="3"/>
      <c r="E47" s="15"/>
      <c r="F47" s="15"/>
      <c r="G47" s="15"/>
      <c r="H47" s="15"/>
      <c r="I47" s="15">
        <f t="shared" si="1"/>
        <v>0</v>
      </c>
      <c r="J47" s="15"/>
      <c r="K47" s="15"/>
      <c r="L47" s="15"/>
      <c r="M47" s="15" t="s">
        <v>68</v>
      </c>
      <c r="N47" s="15"/>
      <c r="O47" s="16"/>
      <c r="P47" s="16"/>
      <c r="Q47" s="16"/>
      <c r="R47" s="16"/>
      <c r="S47" s="16"/>
      <c r="T47" s="7"/>
      <c r="U47" s="7">
        <f>SUMIF(Facturas!B:B,Tabla1[[#This Row],[ID]],Facturas!P:P)</f>
        <v>0</v>
      </c>
      <c r="V47" s="102" t="e">
        <f>Tabla1[[#This Row],[Aprobado
S/.]]/SUMIF(AB:AB,Tabla1[[#This Row],[Año Proy]],T:T)</f>
        <v>#DIV/0!</v>
      </c>
      <c r="W47" s="7">
        <f>SUMIFS(Facturas!P:P,Facturas!B:B,Tabla1[[#This Row],[ID]],Facturas!T:T,"Cancelado")</f>
        <v>0</v>
      </c>
      <c r="X47" s="102" t="e">
        <f>Tabla1[[#This Row],[Ejecutado
S/.]]/SUMIF(AB:AB,Tabla1[[#This Row],[Año Proy]],T:T)</f>
        <v>#DIV/0!</v>
      </c>
      <c r="Y47" s="7" t="str">
        <f>IF(Tabla1[[#This Row],[Aprobado
S/.]]&gt;0,"Aprobado","Pendiente")</f>
        <v>Pendiente</v>
      </c>
      <c r="Z47" s="124"/>
      <c r="AA47" s="124">
        <f>Tabla1[[#This Row],[Fecha aprobación]]-DAY(Tabla1[[#This Row],[Fecha aprobación]])+1</f>
        <v>1</v>
      </c>
      <c r="AB47" s="28"/>
      <c r="AC47" s="28"/>
      <c r="AD47" s="78"/>
    </row>
    <row r="48" spans="1:30" hidden="1" x14ac:dyDescent="0.3">
      <c r="B48" s="77"/>
      <c r="C48" s="4"/>
      <c r="D48" s="3"/>
      <c r="E48" s="15"/>
      <c r="F48" s="15"/>
      <c r="G48" s="15"/>
      <c r="H48" s="15"/>
      <c r="I48" s="15">
        <f t="shared" si="1"/>
        <v>0</v>
      </c>
      <c r="J48" s="15"/>
      <c r="K48" s="15"/>
      <c r="L48" s="15"/>
      <c r="M48" s="15" t="s">
        <v>68</v>
      </c>
      <c r="N48" s="15"/>
      <c r="O48" s="16"/>
      <c r="P48" s="16"/>
      <c r="Q48" s="16"/>
      <c r="R48" s="16"/>
      <c r="S48" s="16"/>
      <c r="T48" s="7"/>
      <c r="U48" s="7">
        <f>SUMIF(Facturas!B:B,Tabla1[[#This Row],[ID]],Facturas!P:P)</f>
        <v>0</v>
      </c>
      <c r="V48" s="102" t="e">
        <f>Tabla1[[#This Row],[Aprobado
S/.]]/SUMIF(AB:AB,Tabla1[[#This Row],[Año Proy]],T:T)</f>
        <v>#DIV/0!</v>
      </c>
      <c r="W48" s="7">
        <f>SUMIFS(Facturas!P:P,Facturas!B:B,Tabla1[[#This Row],[ID]],Facturas!T:T,"Cancelado")</f>
        <v>0</v>
      </c>
      <c r="X48" s="102" t="e">
        <f>Tabla1[[#This Row],[Ejecutado
S/.]]/SUMIF(AB:AB,Tabla1[[#This Row],[Año Proy]],T:T)</f>
        <v>#DIV/0!</v>
      </c>
      <c r="Y48" s="7" t="str">
        <f>IF(Tabla1[[#This Row],[Aprobado
S/.]]&gt;0,"Aprobado","Pendiente")</f>
        <v>Pendiente</v>
      </c>
      <c r="Z48" s="124"/>
      <c r="AA48" s="124">
        <f>Tabla1[[#This Row],[Fecha aprobación]]-DAY(Tabla1[[#This Row],[Fecha aprobación]])+1</f>
        <v>1</v>
      </c>
      <c r="AB48" s="28"/>
      <c r="AC48" s="28"/>
      <c r="AD48" s="78"/>
    </row>
    <row r="49" spans="2:30" hidden="1" x14ac:dyDescent="0.3">
      <c r="B49" s="77"/>
      <c r="C49" s="4"/>
      <c r="D49" s="3"/>
      <c r="E49" s="15"/>
      <c r="F49" s="15"/>
      <c r="G49" s="15"/>
      <c r="H49" s="15"/>
      <c r="I49" s="15">
        <f t="shared" si="1"/>
        <v>0</v>
      </c>
      <c r="J49" s="15"/>
      <c r="K49" s="15"/>
      <c r="L49" s="15"/>
      <c r="M49" s="15" t="s">
        <v>68</v>
      </c>
      <c r="N49" s="15"/>
      <c r="O49" s="16"/>
      <c r="P49" s="16"/>
      <c r="Q49" s="16"/>
      <c r="R49" s="16"/>
      <c r="S49" s="16"/>
      <c r="T49" s="7"/>
      <c r="U49" s="7">
        <f>SUMIF(Facturas!B:B,Tabla1[[#This Row],[ID]],Facturas!P:P)</f>
        <v>0</v>
      </c>
      <c r="V49" s="102" t="e">
        <f>Tabla1[[#This Row],[Aprobado
S/.]]/SUMIF(AB:AB,Tabla1[[#This Row],[Año Proy]],T:T)</f>
        <v>#DIV/0!</v>
      </c>
      <c r="W49" s="7">
        <f>SUMIFS(Facturas!P:P,Facturas!B:B,Tabla1[[#This Row],[ID]],Facturas!T:T,"Cancelado")</f>
        <v>0</v>
      </c>
      <c r="X49" s="102" t="e">
        <f>Tabla1[[#This Row],[Ejecutado
S/.]]/SUMIF(AB:AB,Tabla1[[#This Row],[Año Proy]],T:T)</f>
        <v>#DIV/0!</v>
      </c>
      <c r="Y49" s="7" t="str">
        <f>IF(Tabla1[[#This Row],[Aprobado
S/.]]&gt;0,"Aprobado","Pendiente")</f>
        <v>Pendiente</v>
      </c>
      <c r="Z49" s="124"/>
      <c r="AA49" s="124">
        <f>Tabla1[[#This Row],[Fecha aprobación]]-DAY(Tabla1[[#This Row],[Fecha aprobación]])+1</f>
        <v>1</v>
      </c>
      <c r="AB49" s="28"/>
      <c r="AC49" s="28"/>
      <c r="AD49" s="78"/>
    </row>
    <row r="50" spans="2:30" hidden="1" x14ac:dyDescent="0.3">
      <c r="B50" s="77"/>
      <c r="C50" s="4"/>
      <c r="D50" s="3"/>
      <c r="E50" s="15"/>
      <c r="F50" s="15"/>
      <c r="G50" s="15"/>
      <c r="H50" s="15"/>
      <c r="I50" s="15">
        <f t="shared" si="1"/>
        <v>0</v>
      </c>
      <c r="J50" s="15"/>
      <c r="K50" s="15"/>
      <c r="L50" s="15"/>
      <c r="M50" s="15" t="s">
        <v>68</v>
      </c>
      <c r="N50" s="15"/>
      <c r="O50" s="16"/>
      <c r="P50" s="16"/>
      <c r="Q50" s="16"/>
      <c r="R50" s="16"/>
      <c r="S50" s="16"/>
      <c r="T50" s="7"/>
      <c r="U50" s="7">
        <f>SUMIF(Facturas!B:B,Tabla1[[#This Row],[ID]],Facturas!P:P)</f>
        <v>0</v>
      </c>
      <c r="V50" s="102" t="e">
        <f>Tabla1[[#This Row],[Aprobado
S/.]]/SUMIF(AB:AB,Tabla1[[#This Row],[Año Proy]],T:T)</f>
        <v>#DIV/0!</v>
      </c>
      <c r="W50" s="7">
        <f>SUMIFS(Facturas!P:P,Facturas!B:B,Tabla1[[#This Row],[ID]],Facturas!T:T,"Cancelado")</f>
        <v>0</v>
      </c>
      <c r="X50" s="102" t="e">
        <f>Tabla1[[#This Row],[Ejecutado
S/.]]/SUMIF(AB:AB,Tabla1[[#This Row],[Año Proy]],T:T)</f>
        <v>#DIV/0!</v>
      </c>
      <c r="Y50" s="7" t="str">
        <f>IF(Tabla1[[#This Row],[Aprobado
S/.]]&gt;0,"Aprobado","Pendiente")</f>
        <v>Pendiente</v>
      </c>
      <c r="Z50" s="124"/>
      <c r="AA50" s="124">
        <f>Tabla1[[#This Row],[Fecha aprobación]]-DAY(Tabla1[[#This Row],[Fecha aprobación]])+1</f>
        <v>1</v>
      </c>
      <c r="AB50" s="28"/>
      <c r="AC50" s="28"/>
      <c r="AD50" s="78"/>
    </row>
    <row r="51" spans="2:30" hidden="1" x14ac:dyDescent="0.3">
      <c r="B51" s="77"/>
      <c r="C51" s="4"/>
      <c r="D51" s="3"/>
      <c r="E51" s="15"/>
      <c r="F51" s="15"/>
      <c r="G51" s="15"/>
      <c r="H51" s="15"/>
      <c r="I51" s="15">
        <f t="shared" ref="I51:I56" si="2">IF(H51="S",1,IF(H51="M",2,IF(H51="L",4,IF(H51="XL",6,0))))</f>
        <v>0</v>
      </c>
      <c r="J51" s="15"/>
      <c r="K51" s="15"/>
      <c r="L51" s="15"/>
      <c r="M51" s="15" t="s">
        <v>68</v>
      </c>
      <c r="N51" s="15"/>
      <c r="O51" s="16"/>
      <c r="P51" s="16"/>
      <c r="Q51" s="16"/>
      <c r="R51" s="16"/>
      <c r="S51" s="16"/>
      <c r="T51" s="7"/>
      <c r="U51" s="7">
        <f>SUMIF(Facturas!B:B,Tabla1[[#This Row],[ID]],Facturas!P:P)</f>
        <v>0</v>
      </c>
      <c r="V51" s="102" t="e">
        <f>Tabla1[[#This Row],[Aprobado
S/.]]/SUMIF(AB:AB,Tabla1[[#This Row],[Año Proy]],T:T)</f>
        <v>#DIV/0!</v>
      </c>
      <c r="W51" s="7">
        <f>SUMIFS(Facturas!P:P,Facturas!B:B,Tabla1[[#This Row],[ID]],Facturas!T:T,"Cancelado")</f>
        <v>0</v>
      </c>
      <c r="X51" s="102" t="e">
        <f>Tabla1[[#This Row],[Ejecutado
S/.]]/SUMIF(AB:AB,Tabla1[[#This Row],[Año Proy]],T:T)</f>
        <v>#DIV/0!</v>
      </c>
      <c r="Y51" s="7" t="str">
        <f>IF(Tabla1[[#This Row],[Aprobado
S/.]]&gt;0,"Aprobado","Pendiente")</f>
        <v>Pendiente</v>
      </c>
      <c r="Z51" s="124"/>
      <c r="AA51" s="124">
        <f>Tabla1[[#This Row],[Fecha aprobación]]-DAY(Tabla1[[#This Row],[Fecha aprobación]])+1</f>
        <v>1</v>
      </c>
      <c r="AB51" s="28"/>
      <c r="AC51" s="28"/>
      <c r="AD51" s="78"/>
    </row>
    <row r="52" spans="2:30" hidden="1" x14ac:dyDescent="0.3">
      <c r="B52" s="77"/>
      <c r="C52" s="4"/>
      <c r="D52" s="3"/>
      <c r="E52" s="15"/>
      <c r="F52" s="15"/>
      <c r="G52" s="15"/>
      <c r="H52" s="15"/>
      <c r="I52" s="15">
        <f t="shared" si="2"/>
        <v>0</v>
      </c>
      <c r="J52" s="15"/>
      <c r="K52" s="15"/>
      <c r="L52" s="15"/>
      <c r="M52" s="15" t="s">
        <v>68</v>
      </c>
      <c r="N52" s="15"/>
      <c r="O52" s="16"/>
      <c r="P52" s="16"/>
      <c r="Q52" s="16"/>
      <c r="R52" s="16"/>
      <c r="S52" s="16"/>
      <c r="T52" s="7"/>
      <c r="U52" s="7">
        <f>SUMIF(Facturas!B:B,Tabla1[[#This Row],[ID]],Facturas!P:P)</f>
        <v>0</v>
      </c>
      <c r="V52" s="102" t="e">
        <f>Tabla1[[#This Row],[Aprobado
S/.]]/SUMIF(AB:AB,Tabla1[[#This Row],[Año Proy]],T:T)</f>
        <v>#DIV/0!</v>
      </c>
      <c r="W52" s="7">
        <f>SUMIFS(Facturas!P:P,Facturas!B:B,Tabla1[[#This Row],[ID]],Facturas!T:T,"Cancelado")</f>
        <v>0</v>
      </c>
      <c r="X52" s="102" t="e">
        <f>Tabla1[[#This Row],[Ejecutado
S/.]]/SUMIF(AB:AB,Tabla1[[#This Row],[Año Proy]],T:T)</f>
        <v>#DIV/0!</v>
      </c>
      <c r="Y52" s="7" t="str">
        <f>IF(Tabla1[[#This Row],[Aprobado
S/.]]&gt;0,"Aprobado","Pendiente")</f>
        <v>Pendiente</v>
      </c>
      <c r="Z52" s="124"/>
      <c r="AA52" s="124">
        <f>Tabla1[[#This Row],[Fecha aprobación]]-DAY(Tabla1[[#This Row],[Fecha aprobación]])+1</f>
        <v>1</v>
      </c>
      <c r="AB52" s="28"/>
      <c r="AC52" s="28"/>
      <c r="AD52" s="78"/>
    </row>
    <row r="53" spans="2:30" hidden="1" x14ac:dyDescent="0.3">
      <c r="B53" s="77"/>
      <c r="C53" s="4"/>
      <c r="D53" s="3"/>
      <c r="E53" s="15"/>
      <c r="F53" s="15"/>
      <c r="G53" s="15"/>
      <c r="H53" s="15"/>
      <c r="I53" s="15">
        <f t="shared" si="2"/>
        <v>0</v>
      </c>
      <c r="J53" s="15"/>
      <c r="K53" s="15"/>
      <c r="L53" s="15"/>
      <c r="M53" s="15" t="s">
        <v>68</v>
      </c>
      <c r="N53" s="15"/>
      <c r="O53" s="16"/>
      <c r="P53" s="16"/>
      <c r="Q53" s="16"/>
      <c r="R53" s="16"/>
      <c r="S53" s="16"/>
      <c r="T53" s="7"/>
      <c r="U53" s="7">
        <f>SUMIF(Facturas!B:B,Tabla1[[#This Row],[ID]],Facturas!P:P)</f>
        <v>0</v>
      </c>
      <c r="V53" s="102" t="e">
        <f>Tabla1[[#This Row],[Aprobado
S/.]]/SUMIF(AB:AB,Tabla1[[#This Row],[Año Proy]],T:T)</f>
        <v>#DIV/0!</v>
      </c>
      <c r="W53" s="7">
        <f>SUMIFS(Facturas!P:P,Facturas!B:B,Tabla1[[#This Row],[ID]],Facturas!T:T,"Cancelado")</f>
        <v>0</v>
      </c>
      <c r="X53" s="102" t="e">
        <f>Tabla1[[#This Row],[Ejecutado
S/.]]/SUMIF(AB:AB,Tabla1[[#This Row],[Año Proy]],T:T)</f>
        <v>#DIV/0!</v>
      </c>
      <c r="Y53" s="7" t="str">
        <f>IF(Tabla1[[#This Row],[Aprobado
S/.]]&gt;0,"Aprobado","Pendiente")</f>
        <v>Pendiente</v>
      </c>
      <c r="Z53" s="124"/>
      <c r="AA53" s="124">
        <f>Tabla1[[#This Row],[Fecha aprobación]]-DAY(Tabla1[[#This Row],[Fecha aprobación]])+1</f>
        <v>1</v>
      </c>
      <c r="AB53" s="28"/>
      <c r="AC53" s="28"/>
      <c r="AD53" s="78"/>
    </row>
    <row r="54" spans="2:30" hidden="1" x14ac:dyDescent="0.3">
      <c r="B54" s="77"/>
      <c r="C54" s="4"/>
      <c r="D54" s="3"/>
      <c r="E54" s="15"/>
      <c r="F54" s="15"/>
      <c r="G54" s="15"/>
      <c r="H54" s="15"/>
      <c r="I54" s="15">
        <f t="shared" si="2"/>
        <v>0</v>
      </c>
      <c r="J54" s="15"/>
      <c r="K54" s="15"/>
      <c r="L54" s="15"/>
      <c r="M54" s="15" t="s">
        <v>68</v>
      </c>
      <c r="N54" s="15"/>
      <c r="O54" s="16"/>
      <c r="P54" s="16"/>
      <c r="Q54" s="16"/>
      <c r="R54" s="16"/>
      <c r="S54" s="16"/>
      <c r="T54" s="7"/>
      <c r="U54" s="7">
        <f>SUMIF(Facturas!B:B,Tabla1[[#This Row],[ID]],Facturas!P:P)</f>
        <v>0</v>
      </c>
      <c r="V54" s="102" t="e">
        <f>Tabla1[[#This Row],[Aprobado
S/.]]/SUMIF(AB:AB,Tabla1[[#This Row],[Año Proy]],T:T)</f>
        <v>#DIV/0!</v>
      </c>
      <c r="W54" s="7">
        <f>SUMIFS(Facturas!P:P,Facturas!B:B,Tabla1[[#This Row],[ID]],Facturas!T:T,"Cancelado")</f>
        <v>0</v>
      </c>
      <c r="X54" s="102" t="e">
        <f>Tabla1[[#This Row],[Ejecutado
S/.]]/SUMIF(AB:AB,Tabla1[[#This Row],[Año Proy]],T:T)</f>
        <v>#DIV/0!</v>
      </c>
      <c r="Y54" s="7" t="str">
        <f>IF(Tabla1[[#This Row],[Aprobado
S/.]]&gt;0,"Aprobado","Pendiente")</f>
        <v>Pendiente</v>
      </c>
      <c r="Z54" s="124"/>
      <c r="AA54" s="124">
        <f>Tabla1[[#This Row],[Fecha aprobación]]-DAY(Tabla1[[#This Row],[Fecha aprobación]])+1</f>
        <v>1</v>
      </c>
      <c r="AB54" s="28"/>
      <c r="AC54" s="28"/>
      <c r="AD54" s="78"/>
    </row>
    <row r="55" spans="2:30" hidden="1" x14ac:dyDescent="0.3">
      <c r="B55" s="77"/>
      <c r="C55" s="4"/>
      <c r="D55" s="3"/>
      <c r="E55" s="15"/>
      <c r="F55" s="15"/>
      <c r="G55" s="15"/>
      <c r="H55" s="15"/>
      <c r="I55" s="15">
        <f t="shared" si="2"/>
        <v>0</v>
      </c>
      <c r="J55" s="15"/>
      <c r="K55" s="15"/>
      <c r="L55" s="15"/>
      <c r="M55" s="15" t="s">
        <v>68</v>
      </c>
      <c r="N55" s="15"/>
      <c r="O55" s="16"/>
      <c r="P55" s="16"/>
      <c r="Q55" s="16"/>
      <c r="R55" s="16"/>
      <c r="S55" s="16"/>
      <c r="T55" s="7"/>
      <c r="U55" s="7">
        <f>SUMIF(Facturas!B:B,Tabla1[[#This Row],[ID]],Facturas!P:P)</f>
        <v>0</v>
      </c>
      <c r="V55" s="102" t="e">
        <f>Tabla1[[#This Row],[Aprobado
S/.]]/SUMIF(AB:AB,Tabla1[[#This Row],[Año Proy]],T:T)</f>
        <v>#DIV/0!</v>
      </c>
      <c r="W55" s="7">
        <f>SUMIFS(Facturas!P:P,Facturas!B:B,Tabla1[[#This Row],[ID]],Facturas!T:T,"Cancelado")</f>
        <v>0</v>
      </c>
      <c r="X55" s="102" t="e">
        <f>Tabla1[[#This Row],[Ejecutado
S/.]]/SUMIF(AB:AB,Tabla1[[#This Row],[Año Proy]],T:T)</f>
        <v>#DIV/0!</v>
      </c>
      <c r="Y55" s="7" t="str">
        <f>IF(Tabla1[[#This Row],[Aprobado
S/.]]&gt;0,"Aprobado","Pendiente")</f>
        <v>Pendiente</v>
      </c>
      <c r="Z55" s="124"/>
      <c r="AA55" s="124">
        <f>Tabla1[[#This Row],[Fecha aprobación]]-DAY(Tabla1[[#This Row],[Fecha aprobación]])+1</f>
        <v>1</v>
      </c>
      <c r="AB55" s="28"/>
      <c r="AC55" s="28"/>
      <c r="AD55" s="78"/>
    </row>
    <row r="56" spans="2:30" hidden="1" x14ac:dyDescent="0.3">
      <c r="B56" s="77"/>
      <c r="C56" s="4"/>
      <c r="D56" s="3"/>
      <c r="E56" s="15"/>
      <c r="F56" s="15"/>
      <c r="G56" s="15"/>
      <c r="H56" s="15"/>
      <c r="I56" s="15">
        <f t="shared" si="2"/>
        <v>0</v>
      </c>
      <c r="J56" s="15"/>
      <c r="K56" s="15"/>
      <c r="L56" s="15"/>
      <c r="M56" s="15" t="s">
        <v>68</v>
      </c>
      <c r="N56" s="15"/>
      <c r="O56" s="16"/>
      <c r="P56" s="16"/>
      <c r="Q56" s="16"/>
      <c r="R56" s="16"/>
      <c r="S56" s="16"/>
      <c r="T56" s="7"/>
      <c r="U56" s="7">
        <f>SUMIF(Facturas!B:B,Tabla1[[#This Row],[ID]],Facturas!P:P)</f>
        <v>0</v>
      </c>
      <c r="V56" s="102" t="e">
        <f>Tabla1[[#This Row],[Aprobado
S/.]]/SUMIF(AB:AB,Tabla1[[#This Row],[Año Proy]],T:T)</f>
        <v>#DIV/0!</v>
      </c>
      <c r="W56" s="7">
        <f>SUMIFS(Facturas!P:P,Facturas!B:B,Tabla1[[#This Row],[ID]],Facturas!T:T,"Cancelado")</f>
        <v>0</v>
      </c>
      <c r="X56" s="102" t="e">
        <f>Tabla1[[#This Row],[Ejecutado
S/.]]/SUMIF(AB:AB,Tabla1[[#This Row],[Año Proy]],T:T)</f>
        <v>#DIV/0!</v>
      </c>
      <c r="Y56" s="7" t="str">
        <f>IF(Tabla1[[#This Row],[Aprobado
S/.]]&gt;0,"Aprobado","Pendiente")</f>
        <v>Pendiente</v>
      </c>
      <c r="Z56" s="124"/>
      <c r="AA56" s="124">
        <f>Tabla1[[#This Row],[Fecha aprobación]]-DAY(Tabla1[[#This Row],[Fecha aprobación]])+1</f>
        <v>1</v>
      </c>
      <c r="AB56" s="28"/>
      <c r="AC56" s="28"/>
      <c r="AD56" s="78"/>
    </row>
    <row r="57" spans="2:30" hidden="1" x14ac:dyDescent="0.3">
      <c r="B57" s="77"/>
      <c r="C57" s="4"/>
      <c r="D57" s="3"/>
      <c r="E57" s="15"/>
      <c r="F57" s="15"/>
      <c r="G57" s="15"/>
      <c r="H57" s="15"/>
      <c r="I57" s="15">
        <f t="shared" si="1"/>
        <v>0</v>
      </c>
      <c r="J57" s="15"/>
      <c r="K57" s="15"/>
      <c r="L57" s="15"/>
      <c r="M57" s="15" t="s">
        <v>68</v>
      </c>
      <c r="N57" s="15"/>
      <c r="O57" s="16"/>
      <c r="P57" s="16"/>
      <c r="Q57" s="16"/>
      <c r="R57" s="16"/>
      <c r="S57" s="16"/>
      <c r="T57" s="7"/>
      <c r="U57" s="7">
        <f>SUMIF(Facturas!B:B,Tabla1[[#This Row],[ID]],Facturas!P:P)</f>
        <v>0</v>
      </c>
      <c r="V57" s="102" t="e">
        <f>Tabla1[[#This Row],[Aprobado
S/.]]/SUMIF(AB:AB,Tabla1[[#This Row],[Año Proy]],T:T)</f>
        <v>#DIV/0!</v>
      </c>
      <c r="W57" s="7">
        <f>SUMIFS(Facturas!P:P,Facturas!B:B,Tabla1[[#This Row],[ID]],Facturas!T:T,"Cancelado")</f>
        <v>0</v>
      </c>
      <c r="X57" s="102" t="e">
        <f>Tabla1[[#This Row],[Ejecutado
S/.]]/SUMIF(AB:AB,Tabla1[[#This Row],[Año Proy]],T:T)</f>
        <v>#DIV/0!</v>
      </c>
      <c r="Y57" s="7" t="str">
        <f>IF(Tabla1[[#This Row],[Aprobado
S/.]]&gt;0,"Aprobado","Pendiente")</f>
        <v>Pendiente</v>
      </c>
      <c r="Z57" s="124"/>
      <c r="AA57" s="124">
        <f>Tabla1[[#This Row],[Fecha aprobación]]-DAY(Tabla1[[#This Row],[Fecha aprobación]])+1</f>
        <v>1</v>
      </c>
      <c r="AB57" s="28"/>
      <c r="AC57" s="28"/>
      <c r="AD57" s="78"/>
    </row>
    <row r="58" spans="2:30" hidden="1" x14ac:dyDescent="0.3">
      <c r="B58" s="77"/>
      <c r="C58" s="4"/>
      <c r="D58" s="3"/>
      <c r="E58" s="15"/>
      <c r="F58" s="15"/>
      <c r="G58" s="15"/>
      <c r="H58" s="15"/>
      <c r="I58" s="15">
        <f t="shared" si="1"/>
        <v>0</v>
      </c>
      <c r="J58" s="15"/>
      <c r="K58" s="15"/>
      <c r="L58" s="15"/>
      <c r="M58" s="15" t="s">
        <v>68</v>
      </c>
      <c r="N58" s="15"/>
      <c r="O58" s="16"/>
      <c r="P58" s="16"/>
      <c r="Q58" s="16"/>
      <c r="R58" s="16"/>
      <c r="S58" s="16"/>
      <c r="T58" s="7"/>
      <c r="U58" s="7">
        <f>SUMIF(Facturas!B:B,Tabla1[[#This Row],[ID]],Facturas!P:P)</f>
        <v>0</v>
      </c>
      <c r="V58" s="102" t="e">
        <f>Tabla1[[#This Row],[Aprobado
S/.]]/SUMIF(AB:AB,Tabla1[[#This Row],[Año Proy]],T:T)</f>
        <v>#DIV/0!</v>
      </c>
      <c r="W58" s="7">
        <f>SUMIFS(Facturas!P:P,Facturas!B:B,Tabla1[[#This Row],[ID]],Facturas!T:T,"Cancelado")</f>
        <v>0</v>
      </c>
      <c r="X58" s="102" t="e">
        <f>Tabla1[[#This Row],[Ejecutado
S/.]]/SUMIF(AB:AB,Tabla1[[#This Row],[Año Proy]],T:T)</f>
        <v>#DIV/0!</v>
      </c>
      <c r="Y58" s="7" t="str">
        <f>IF(Tabla1[[#This Row],[Aprobado
S/.]]&gt;0,"Aprobado","Pendiente")</f>
        <v>Pendiente</v>
      </c>
      <c r="Z58" s="124"/>
      <c r="AA58" s="124">
        <f>Tabla1[[#This Row],[Fecha aprobación]]-DAY(Tabla1[[#This Row],[Fecha aprobación]])+1</f>
        <v>1</v>
      </c>
      <c r="AB58" s="28"/>
      <c r="AC58" s="28"/>
      <c r="AD58" s="78"/>
    </row>
    <row r="59" spans="2:30" hidden="1" x14ac:dyDescent="0.3">
      <c r="B59" s="77"/>
      <c r="C59" s="4"/>
      <c r="D59" s="3"/>
      <c r="E59" s="15"/>
      <c r="F59" s="15"/>
      <c r="G59" s="15"/>
      <c r="H59" s="15"/>
      <c r="I59" s="15">
        <f t="shared" si="1"/>
        <v>0</v>
      </c>
      <c r="J59" s="15"/>
      <c r="K59" s="15"/>
      <c r="L59" s="15"/>
      <c r="M59" s="15" t="s">
        <v>68</v>
      </c>
      <c r="N59" s="15"/>
      <c r="O59" s="16"/>
      <c r="P59" s="16"/>
      <c r="Q59" s="16"/>
      <c r="R59" s="16"/>
      <c r="S59" s="16"/>
      <c r="T59" s="7"/>
      <c r="U59" s="7">
        <f>SUMIF(Facturas!B:B,Tabla1[[#This Row],[ID]],Facturas!P:P)</f>
        <v>0</v>
      </c>
      <c r="V59" s="102" t="e">
        <f>Tabla1[[#This Row],[Aprobado
S/.]]/SUMIF(AB:AB,Tabla1[[#This Row],[Año Proy]],T:T)</f>
        <v>#DIV/0!</v>
      </c>
      <c r="W59" s="7">
        <f>SUMIFS(Facturas!P:P,Facturas!B:B,Tabla1[[#This Row],[ID]],Facturas!T:T,"Cancelado")</f>
        <v>0</v>
      </c>
      <c r="X59" s="102" t="e">
        <f>Tabla1[[#This Row],[Ejecutado
S/.]]/SUMIF(AB:AB,Tabla1[[#This Row],[Año Proy]],T:T)</f>
        <v>#DIV/0!</v>
      </c>
      <c r="Y59" s="7" t="str">
        <f>IF(Tabla1[[#This Row],[Aprobado
S/.]]&gt;0,"Aprobado","Pendiente")</f>
        <v>Pendiente</v>
      </c>
      <c r="Z59" s="124"/>
      <c r="AA59" s="124">
        <f>Tabla1[[#This Row],[Fecha aprobación]]-DAY(Tabla1[[#This Row],[Fecha aprobación]])+1</f>
        <v>1</v>
      </c>
      <c r="AB59" s="28"/>
      <c r="AC59" s="28"/>
      <c r="AD59" s="78"/>
    </row>
    <row r="60" spans="2:30" hidden="1" x14ac:dyDescent="0.3">
      <c r="B60" s="77"/>
      <c r="C60" s="4"/>
      <c r="D60" s="3"/>
      <c r="E60" s="15"/>
      <c r="F60" s="15"/>
      <c r="G60" s="15"/>
      <c r="H60" s="15"/>
      <c r="I60" s="15">
        <f t="shared" si="1"/>
        <v>0</v>
      </c>
      <c r="J60" s="15"/>
      <c r="K60" s="15"/>
      <c r="L60" s="15"/>
      <c r="M60" s="15" t="s">
        <v>68</v>
      </c>
      <c r="N60" s="15"/>
      <c r="O60" s="16"/>
      <c r="P60" s="16"/>
      <c r="Q60" s="16"/>
      <c r="R60" s="16"/>
      <c r="S60" s="16"/>
      <c r="T60" s="7"/>
      <c r="U60" s="7">
        <f>SUMIF(Facturas!B:B,Tabla1[[#This Row],[ID]],Facturas!P:P)</f>
        <v>0</v>
      </c>
      <c r="V60" s="102" t="e">
        <f>Tabla1[[#This Row],[Aprobado
S/.]]/SUMIF(AB:AB,Tabla1[[#This Row],[Año Proy]],T:T)</f>
        <v>#DIV/0!</v>
      </c>
      <c r="W60" s="7">
        <f>SUMIFS(Facturas!P:P,Facturas!B:B,Tabla1[[#This Row],[ID]],Facturas!T:T,"Cancelado")</f>
        <v>0</v>
      </c>
      <c r="X60" s="102" t="e">
        <f>Tabla1[[#This Row],[Ejecutado
S/.]]/SUMIF(AB:AB,Tabla1[[#This Row],[Año Proy]],T:T)</f>
        <v>#DIV/0!</v>
      </c>
      <c r="Y60" s="7" t="str">
        <f>IF(Tabla1[[#This Row],[Aprobado
S/.]]&gt;0,"Aprobado","Pendiente")</f>
        <v>Pendiente</v>
      </c>
      <c r="Z60" s="124"/>
      <c r="AA60" s="124">
        <f>Tabla1[[#This Row],[Fecha aprobación]]-DAY(Tabla1[[#This Row],[Fecha aprobación]])+1</f>
        <v>1</v>
      </c>
      <c r="AB60" s="28"/>
      <c r="AC60" s="28"/>
      <c r="AD60" s="78"/>
    </row>
    <row r="61" spans="2:30" hidden="1" x14ac:dyDescent="0.3">
      <c r="B61" s="77"/>
      <c r="C61" s="4"/>
      <c r="D61" s="3"/>
      <c r="E61" s="15"/>
      <c r="F61" s="15"/>
      <c r="G61" s="15"/>
      <c r="H61" s="15"/>
      <c r="I61" s="15">
        <f t="shared" si="1"/>
        <v>0</v>
      </c>
      <c r="J61" s="15"/>
      <c r="K61" s="15"/>
      <c r="L61" s="15"/>
      <c r="M61" s="15" t="s">
        <v>68</v>
      </c>
      <c r="N61" s="15"/>
      <c r="O61" s="16"/>
      <c r="P61" s="16"/>
      <c r="Q61" s="16"/>
      <c r="R61" s="16"/>
      <c r="S61" s="16"/>
      <c r="T61" s="7"/>
      <c r="U61" s="7">
        <f>SUMIF(Facturas!B:B,Tabla1[[#This Row],[ID]],Facturas!P:P)</f>
        <v>0</v>
      </c>
      <c r="V61" s="102" t="e">
        <f>Tabla1[[#This Row],[Aprobado
S/.]]/SUMIF(AB:AB,Tabla1[[#This Row],[Año Proy]],T:T)</f>
        <v>#DIV/0!</v>
      </c>
      <c r="W61" s="7">
        <f>SUMIFS(Facturas!P:P,Facturas!B:B,Tabla1[[#This Row],[ID]],Facturas!T:T,"Cancelado")</f>
        <v>0</v>
      </c>
      <c r="X61" s="102" t="e">
        <f>Tabla1[[#This Row],[Ejecutado
S/.]]/SUMIF(AB:AB,Tabla1[[#This Row],[Año Proy]],T:T)</f>
        <v>#DIV/0!</v>
      </c>
      <c r="Y61" s="7" t="str">
        <f>IF(Tabla1[[#This Row],[Aprobado
S/.]]&gt;0,"Aprobado","Pendiente")</f>
        <v>Pendiente</v>
      </c>
      <c r="Z61" s="124"/>
      <c r="AA61" s="124">
        <f>Tabla1[[#This Row],[Fecha aprobación]]-DAY(Tabla1[[#This Row],[Fecha aprobación]])+1</f>
        <v>1</v>
      </c>
      <c r="AB61" s="28"/>
      <c r="AC61" s="28"/>
      <c r="AD61" s="78"/>
    </row>
    <row r="62" spans="2:30" hidden="1" x14ac:dyDescent="0.3">
      <c r="B62" s="77"/>
      <c r="C62" s="4"/>
      <c r="D62" s="3"/>
      <c r="E62" s="15"/>
      <c r="F62" s="15"/>
      <c r="G62" s="15"/>
      <c r="H62" s="15"/>
      <c r="I62" s="15">
        <f t="shared" si="1"/>
        <v>0</v>
      </c>
      <c r="J62" s="15"/>
      <c r="K62" s="15"/>
      <c r="L62" s="15"/>
      <c r="M62" s="15" t="s">
        <v>68</v>
      </c>
      <c r="N62" s="15"/>
      <c r="O62" s="16"/>
      <c r="P62" s="16"/>
      <c r="Q62" s="16"/>
      <c r="R62" s="16"/>
      <c r="S62" s="16"/>
      <c r="T62" s="7"/>
      <c r="U62" s="7">
        <f>SUMIF(Facturas!B:B,Tabla1[[#This Row],[ID]],Facturas!P:P)</f>
        <v>0</v>
      </c>
      <c r="V62" s="102" t="e">
        <f>Tabla1[[#This Row],[Aprobado
S/.]]/SUMIF(AB:AB,Tabla1[[#This Row],[Año Proy]],T:T)</f>
        <v>#DIV/0!</v>
      </c>
      <c r="W62" s="7">
        <f>SUMIFS(Facturas!P:P,Facturas!B:B,Tabla1[[#This Row],[ID]],Facturas!T:T,"Cancelado")</f>
        <v>0</v>
      </c>
      <c r="X62" s="102" t="e">
        <f>Tabla1[[#This Row],[Ejecutado
S/.]]/SUMIF(AB:AB,Tabla1[[#This Row],[Año Proy]],T:T)</f>
        <v>#DIV/0!</v>
      </c>
      <c r="Y62" s="7" t="str">
        <f>IF(Tabla1[[#This Row],[Aprobado
S/.]]&gt;0,"Aprobado","Pendiente")</f>
        <v>Pendiente</v>
      </c>
      <c r="Z62" s="124"/>
      <c r="AA62" s="124">
        <f>Tabla1[[#This Row],[Fecha aprobación]]-DAY(Tabla1[[#This Row],[Fecha aprobación]])+1</f>
        <v>1</v>
      </c>
      <c r="AB62" s="28"/>
      <c r="AC62" s="28"/>
      <c r="AD62" s="78"/>
    </row>
    <row r="63" spans="2:30" hidden="1" x14ac:dyDescent="0.3">
      <c r="B63" s="77"/>
      <c r="C63" s="4"/>
      <c r="D63" s="3"/>
      <c r="E63" s="15"/>
      <c r="F63" s="15"/>
      <c r="G63" s="15"/>
      <c r="H63" s="15"/>
      <c r="I63" s="15">
        <f t="shared" si="1"/>
        <v>0</v>
      </c>
      <c r="J63" s="15"/>
      <c r="K63" s="15"/>
      <c r="L63" s="15"/>
      <c r="M63" s="15" t="s">
        <v>68</v>
      </c>
      <c r="N63" s="15"/>
      <c r="O63" s="16"/>
      <c r="P63" s="16"/>
      <c r="Q63" s="16"/>
      <c r="R63" s="16"/>
      <c r="S63" s="16"/>
      <c r="T63" s="7"/>
      <c r="U63" s="7">
        <f>SUMIF(Facturas!B:B,Tabla1[[#This Row],[ID]],Facturas!P:P)</f>
        <v>0</v>
      </c>
      <c r="V63" s="102" t="e">
        <f>Tabla1[[#This Row],[Aprobado
S/.]]/SUMIF(AB:AB,Tabla1[[#This Row],[Año Proy]],T:T)</f>
        <v>#DIV/0!</v>
      </c>
      <c r="W63" s="7">
        <f>SUMIFS(Facturas!P:P,Facturas!B:B,Tabla1[[#This Row],[ID]],Facturas!T:T,"Cancelado")</f>
        <v>0</v>
      </c>
      <c r="X63" s="102" t="e">
        <f>Tabla1[[#This Row],[Ejecutado
S/.]]/SUMIF(AB:AB,Tabla1[[#This Row],[Año Proy]],T:T)</f>
        <v>#DIV/0!</v>
      </c>
      <c r="Y63" s="7" t="str">
        <f>IF(Tabla1[[#This Row],[Aprobado
S/.]]&gt;0,"Aprobado","Pendiente")</f>
        <v>Pendiente</v>
      </c>
      <c r="Z63" s="124"/>
      <c r="AA63" s="124">
        <f>Tabla1[[#This Row],[Fecha aprobación]]-DAY(Tabla1[[#This Row],[Fecha aprobación]])+1</f>
        <v>1</v>
      </c>
      <c r="AB63" s="28"/>
      <c r="AC63" s="28"/>
      <c r="AD63" s="78"/>
    </row>
    <row r="64" spans="2:30" hidden="1" x14ac:dyDescent="0.3">
      <c r="B64" s="77"/>
      <c r="C64" s="4"/>
      <c r="D64" s="3"/>
      <c r="E64" s="15"/>
      <c r="F64" s="15"/>
      <c r="G64" s="15"/>
      <c r="H64" s="15"/>
      <c r="I64" s="15">
        <f t="shared" si="1"/>
        <v>0</v>
      </c>
      <c r="J64" s="15"/>
      <c r="K64" s="15"/>
      <c r="L64" s="15"/>
      <c r="M64" s="15" t="s">
        <v>68</v>
      </c>
      <c r="N64" s="15"/>
      <c r="O64" s="16"/>
      <c r="P64" s="16"/>
      <c r="Q64" s="16"/>
      <c r="R64" s="16"/>
      <c r="S64" s="16"/>
      <c r="T64" s="7"/>
      <c r="U64" s="7">
        <f>SUMIF(Facturas!B:B,Tabla1[[#This Row],[ID]],Facturas!P:P)</f>
        <v>0</v>
      </c>
      <c r="V64" s="102" t="e">
        <f>Tabla1[[#This Row],[Aprobado
S/.]]/SUMIF(AB:AB,Tabla1[[#This Row],[Año Proy]],T:T)</f>
        <v>#DIV/0!</v>
      </c>
      <c r="W64" s="7">
        <f>SUMIFS(Facturas!P:P,Facturas!B:B,Tabla1[[#This Row],[ID]],Facturas!T:T,"Cancelado")</f>
        <v>0</v>
      </c>
      <c r="X64" s="102" t="e">
        <f>Tabla1[[#This Row],[Ejecutado
S/.]]/SUMIF(AB:AB,Tabla1[[#This Row],[Año Proy]],T:T)</f>
        <v>#DIV/0!</v>
      </c>
      <c r="Y64" s="7" t="str">
        <f>IF(Tabla1[[#This Row],[Aprobado
S/.]]&gt;0,"Aprobado","Pendiente")</f>
        <v>Pendiente</v>
      </c>
      <c r="Z64" s="124"/>
      <c r="AA64" s="124">
        <f>Tabla1[[#This Row],[Fecha aprobación]]-DAY(Tabla1[[#This Row],[Fecha aprobación]])+1</f>
        <v>1</v>
      </c>
      <c r="AB64" s="28"/>
      <c r="AC64" s="28"/>
      <c r="AD64" s="78"/>
    </row>
    <row r="65" spans="2:30" hidden="1" x14ac:dyDescent="0.3">
      <c r="B65" s="77"/>
      <c r="C65" s="4"/>
      <c r="D65" s="3"/>
      <c r="E65" s="15"/>
      <c r="F65" s="15"/>
      <c r="G65" s="15"/>
      <c r="H65" s="15"/>
      <c r="I65" s="15">
        <f t="shared" si="1"/>
        <v>0</v>
      </c>
      <c r="J65" s="15"/>
      <c r="K65" s="15"/>
      <c r="L65" s="15"/>
      <c r="M65" s="15" t="s">
        <v>68</v>
      </c>
      <c r="N65" s="15"/>
      <c r="O65" s="16"/>
      <c r="P65" s="16"/>
      <c r="Q65" s="16"/>
      <c r="R65" s="16"/>
      <c r="S65" s="16"/>
      <c r="T65" s="7"/>
      <c r="U65" s="7">
        <f>SUMIF(Facturas!B:B,Tabla1[[#This Row],[ID]],Facturas!P:P)</f>
        <v>0</v>
      </c>
      <c r="V65" s="102" t="e">
        <f>Tabla1[[#This Row],[Aprobado
S/.]]/SUMIF(AB:AB,Tabla1[[#This Row],[Año Proy]],T:T)</f>
        <v>#DIV/0!</v>
      </c>
      <c r="W65" s="7">
        <f>SUMIFS(Facturas!P:P,Facturas!B:B,Tabla1[[#This Row],[ID]],Facturas!T:T,"Cancelado")</f>
        <v>0</v>
      </c>
      <c r="X65" s="102" t="e">
        <f>Tabla1[[#This Row],[Ejecutado
S/.]]/SUMIF(AB:AB,Tabla1[[#This Row],[Año Proy]],T:T)</f>
        <v>#DIV/0!</v>
      </c>
      <c r="Y65" s="7" t="str">
        <f>IF(Tabla1[[#This Row],[Aprobado
S/.]]&gt;0,"Aprobado","Pendiente")</f>
        <v>Pendiente</v>
      </c>
      <c r="Z65" s="124"/>
      <c r="AA65" s="124">
        <f>Tabla1[[#This Row],[Fecha aprobación]]-DAY(Tabla1[[#This Row],[Fecha aprobación]])+1</f>
        <v>1</v>
      </c>
      <c r="AB65" s="28"/>
      <c r="AC65" s="28"/>
      <c r="AD65" s="78"/>
    </row>
    <row r="66" spans="2:30" hidden="1" x14ac:dyDescent="0.3">
      <c r="B66" s="77"/>
      <c r="C66" s="4"/>
      <c r="D66" s="3"/>
      <c r="E66" s="15"/>
      <c r="F66" s="15"/>
      <c r="G66" s="15"/>
      <c r="H66" s="15"/>
      <c r="I66" s="15">
        <f t="shared" si="1"/>
        <v>0</v>
      </c>
      <c r="J66" s="15"/>
      <c r="K66" s="15"/>
      <c r="L66" s="15"/>
      <c r="M66" s="15" t="s">
        <v>68</v>
      </c>
      <c r="N66" s="15"/>
      <c r="O66" s="16"/>
      <c r="P66" s="16"/>
      <c r="Q66" s="16"/>
      <c r="R66" s="16"/>
      <c r="S66" s="16"/>
      <c r="T66" s="7"/>
      <c r="U66" s="7">
        <f>SUMIF(Facturas!B:B,Tabla1[[#This Row],[ID]],Facturas!P:P)</f>
        <v>0</v>
      </c>
      <c r="V66" s="102" t="e">
        <f>Tabla1[[#This Row],[Aprobado
S/.]]/SUMIF(AB:AB,Tabla1[[#This Row],[Año Proy]],T:T)</f>
        <v>#DIV/0!</v>
      </c>
      <c r="W66" s="7">
        <f>SUMIFS(Facturas!P:P,Facturas!B:B,Tabla1[[#This Row],[ID]],Facturas!T:T,"Cancelado")</f>
        <v>0</v>
      </c>
      <c r="X66" s="102" t="e">
        <f>Tabla1[[#This Row],[Ejecutado
S/.]]/SUMIF(AB:AB,Tabla1[[#This Row],[Año Proy]],T:T)</f>
        <v>#DIV/0!</v>
      </c>
      <c r="Y66" s="7" t="str">
        <f>IF(Tabla1[[#This Row],[Aprobado
S/.]]&gt;0,"Aprobado","Pendiente")</f>
        <v>Pendiente</v>
      </c>
      <c r="Z66" s="124"/>
      <c r="AA66" s="124">
        <f>Tabla1[[#This Row],[Fecha aprobación]]-DAY(Tabla1[[#This Row],[Fecha aprobación]])+1</f>
        <v>1</v>
      </c>
      <c r="AB66" s="28"/>
      <c r="AC66" s="28"/>
      <c r="AD66" s="78"/>
    </row>
    <row r="67" spans="2:30" hidden="1" x14ac:dyDescent="0.3">
      <c r="B67" s="77"/>
      <c r="C67" s="4"/>
      <c r="D67" s="3"/>
      <c r="E67" s="15"/>
      <c r="F67" s="15"/>
      <c r="G67" s="15"/>
      <c r="H67" s="15"/>
      <c r="I67" s="15">
        <f t="shared" si="1"/>
        <v>0</v>
      </c>
      <c r="J67" s="15"/>
      <c r="K67" s="15"/>
      <c r="L67" s="15"/>
      <c r="M67" s="15" t="s">
        <v>68</v>
      </c>
      <c r="N67" s="15"/>
      <c r="O67" s="16"/>
      <c r="P67" s="16"/>
      <c r="Q67" s="16"/>
      <c r="R67" s="16"/>
      <c r="S67" s="16"/>
      <c r="T67" s="7"/>
      <c r="U67" s="7">
        <f>SUMIF(Facturas!B:B,Tabla1[[#This Row],[ID]],Facturas!P:P)</f>
        <v>0</v>
      </c>
      <c r="V67" s="102" t="e">
        <f>Tabla1[[#This Row],[Aprobado
S/.]]/SUMIF(AB:AB,Tabla1[[#This Row],[Año Proy]],T:T)</f>
        <v>#DIV/0!</v>
      </c>
      <c r="W67" s="7">
        <f>SUMIFS(Facturas!P:P,Facturas!B:B,Tabla1[[#This Row],[ID]],Facturas!T:T,"Cancelado")</f>
        <v>0</v>
      </c>
      <c r="X67" s="102" t="e">
        <f>Tabla1[[#This Row],[Ejecutado
S/.]]/SUMIF(AB:AB,Tabla1[[#This Row],[Año Proy]],T:T)</f>
        <v>#DIV/0!</v>
      </c>
      <c r="Y67" s="7" t="str">
        <f>IF(Tabla1[[#This Row],[Aprobado
S/.]]&gt;0,"Aprobado","Pendiente")</f>
        <v>Pendiente</v>
      </c>
      <c r="Z67" s="124"/>
      <c r="AA67" s="124">
        <f>Tabla1[[#This Row],[Fecha aprobación]]-DAY(Tabla1[[#This Row],[Fecha aprobación]])+1</f>
        <v>1</v>
      </c>
      <c r="AB67" s="28"/>
      <c r="AC67" s="28"/>
      <c r="AD67" s="78"/>
    </row>
    <row r="68" spans="2:30" hidden="1" x14ac:dyDescent="0.3">
      <c r="B68" s="77"/>
      <c r="C68" s="4"/>
      <c r="D68" s="3"/>
      <c r="E68" s="15"/>
      <c r="F68" s="15"/>
      <c r="G68" s="15"/>
      <c r="H68" s="15"/>
      <c r="I68" s="15">
        <f t="shared" si="1"/>
        <v>0</v>
      </c>
      <c r="J68" s="15"/>
      <c r="K68" s="15"/>
      <c r="L68" s="15"/>
      <c r="M68" s="15" t="s">
        <v>68</v>
      </c>
      <c r="N68" s="15"/>
      <c r="O68" s="16"/>
      <c r="P68" s="16"/>
      <c r="Q68" s="16"/>
      <c r="R68" s="16"/>
      <c r="S68" s="16"/>
      <c r="T68" s="7"/>
      <c r="U68" s="7">
        <f>SUMIF(Facturas!B:B,Tabla1[[#This Row],[ID]],Facturas!P:P)</f>
        <v>0</v>
      </c>
      <c r="V68" s="102" t="e">
        <f>Tabla1[[#This Row],[Aprobado
S/.]]/SUMIF(AB:AB,Tabla1[[#This Row],[Año Proy]],T:T)</f>
        <v>#DIV/0!</v>
      </c>
      <c r="W68" s="7">
        <f>SUMIFS(Facturas!P:P,Facturas!B:B,Tabla1[[#This Row],[ID]],Facturas!T:T,"Cancelado")</f>
        <v>0</v>
      </c>
      <c r="X68" s="102" t="e">
        <f>Tabla1[[#This Row],[Ejecutado
S/.]]/SUMIF(AB:AB,Tabla1[[#This Row],[Año Proy]],T:T)</f>
        <v>#DIV/0!</v>
      </c>
      <c r="Y68" s="7" t="str">
        <f>IF(Tabla1[[#This Row],[Aprobado
S/.]]&gt;0,"Aprobado","Pendiente")</f>
        <v>Pendiente</v>
      </c>
      <c r="Z68" s="124"/>
      <c r="AA68" s="124">
        <f>Tabla1[[#This Row],[Fecha aprobación]]-DAY(Tabla1[[#This Row],[Fecha aprobación]])+1</f>
        <v>1</v>
      </c>
      <c r="AB68" s="28"/>
      <c r="AC68" s="28"/>
      <c r="AD68" s="78"/>
    </row>
    <row r="69" spans="2:30" hidden="1" x14ac:dyDescent="0.3">
      <c r="B69" s="77"/>
      <c r="C69" s="4"/>
      <c r="D69" s="3"/>
      <c r="E69" s="15"/>
      <c r="F69" s="15"/>
      <c r="G69" s="15"/>
      <c r="H69" s="15"/>
      <c r="I69" s="15">
        <f t="shared" si="1"/>
        <v>0</v>
      </c>
      <c r="J69" s="15"/>
      <c r="K69" s="15"/>
      <c r="L69" s="15"/>
      <c r="M69" s="15" t="s">
        <v>68</v>
      </c>
      <c r="N69" s="15"/>
      <c r="O69" s="16"/>
      <c r="P69" s="16"/>
      <c r="Q69" s="16"/>
      <c r="R69" s="16"/>
      <c r="S69" s="16"/>
      <c r="T69" s="7"/>
      <c r="U69" s="7">
        <f>SUMIF(Facturas!B:B,Tabla1[[#This Row],[ID]],Facturas!P:P)</f>
        <v>0</v>
      </c>
      <c r="V69" s="102" t="e">
        <f>Tabla1[[#This Row],[Aprobado
S/.]]/SUMIF(AB:AB,Tabla1[[#This Row],[Año Proy]],T:T)</f>
        <v>#DIV/0!</v>
      </c>
      <c r="W69" s="7">
        <f>SUMIFS(Facturas!P:P,Facturas!B:B,Tabla1[[#This Row],[ID]],Facturas!T:T,"Cancelado")</f>
        <v>0</v>
      </c>
      <c r="X69" s="102" t="e">
        <f>Tabla1[[#This Row],[Ejecutado
S/.]]/SUMIF(AB:AB,Tabla1[[#This Row],[Año Proy]],T:T)</f>
        <v>#DIV/0!</v>
      </c>
      <c r="Y69" s="7" t="str">
        <f>IF(Tabla1[[#This Row],[Aprobado
S/.]]&gt;0,"Aprobado","Pendiente")</f>
        <v>Pendiente</v>
      </c>
      <c r="Z69" s="124"/>
      <c r="AA69" s="124">
        <f>Tabla1[[#This Row],[Fecha aprobación]]-DAY(Tabla1[[#This Row],[Fecha aprobación]])+1</f>
        <v>1</v>
      </c>
      <c r="AB69" s="28"/>
      <c r="AC69" s="28"/>
      <c r="AD69" s="78"/>
    </row>
    <row r="70" spans="2:30" hidden="1" x14ac:dyDescent="0.3">
      <c r="B70" s="77"/>
      <c r="C70" s="4"/>
      <c r="D70" s="3"/>
      <c r="E70" s="15"/>
      <c r="F70" s="15"/>
      <c r="G70" s="15"/>
      <c r="H70" s="15"/>
      <c r="I70" s="15">
        <f t="shared" si="1"/>
        <v>0</v>
      </c>
      <c r="J70" s="15"/>
      <c r="K70" s="15"/>
      <c r="L70" s="15"/>
      <c r="M70" s="15" t="s">
        <v>68</v>
      </c>
      <c r="N70" s="15"/>
      <c r="O70" s="16"/>
      <c r="P70" s="16"/>
      <c r="Q70" s="16"/>
      <c r="R70" s="16"/>
      <c r="S70" s="16"/>
      <c r="T70" s="7"/>
      <c r="U70" s="7">
        <f>SUMIF(Facturas!B:B,Tabla1[[#This Row],[ID]],Facturas!P:P)</f>
        <v>0</v>
      </c>
      <c r="V70" s="102" t="e">
        <f>Tabla1[[#This Row],[Aprobado
S/.]]/SUMIF(AB:AB,Tabla1[[#This Row],[Año Proy]],T:T)</f>
        <v>#DIV/0!</v>
      </c>
      <c r="W70" s="7">
        <f>SUMIFS(Facturas!P:P,Facturas!B:B,Tabla1[[#This Row],[ID]],Facturas!T:T,"Cancelado")</f>
        <v>0</v>
      </c>
      <c r="X70" s="102" t="e">
        <f>Tabla1[[#This Row],[Ejecutado
S/.]]/SUMIF(AB:AB,Tabla1[[#This Row],[Año Proy]],T:T)</f>
        <v>#DIV/0!</v>
      </c>
      <c r="Y70" s="7" t="str">
        <f>IF(Tabla1[[#This Row],[Aprobado
S/.]]&gt;0,"Aprobado","Pendiente")</f>
        <v>Pendiente</v>
      </c>
      <c r="Z70" s="124"/>
      <c r="AA70" s="124">
        <f>Tabla1[[#This Row],[Fecha aprobación]]-DAY(Tabla1[[#This Row],[Fecha aprobación]])+1</f>
        <v>1</v>
      </c>
      <c r="AB70" s="28"/>
      <c r="AC70" s="28"/>
      <c r="AD70" s="78"/>
    </row>
    <row r="71" spans="2:30" hidden="1" x14ac:dyDescent="0.3">
      <c r="B71" s="77"/>
      <c r="C71" s="4"/>
      <c r="D71" s="3"/>
      <c r="E71" s="15"/>
      <c r="F71" s="15"/>
      <c r="G71" s="15"/>
      <c r="H71" s="15"/>
      <c r="I71" s="15">
        <f t="shared" si="1"/>
        <v>0</v>
      </c>
      <c r="J71" s="15"/>
      <c r="K71" s="15"/>
      <c r="L71" s="15"/>
      <c r="M71" s="15" t="s">
        <v>68</v>
      </c>
      <c r="N71" s="15"/>
      <c r="O71" s="16"/>
      <c r="P71" s="16"/>
      <c r="Q71" s="16"/>
      <c r="R71" s="16"/>
      <c r="S71" s="16"/>
      <c r="T71" s="7"/>
      <c r="U71" s="7">
        <f>SUMIF(Facturas!B:B,Tabla1[[#This Row],[ID]],Facturas!P:P)</f>
        <v>0</v>
      </c>
      <c r="V71" s="102" t="e">
        <f>Tabla1[[#This Row],[Aprobado
S/.]]/SUMIF(AB:AB,Tabla1[[#This Row],[Año Proy]],T:T)</f>
        <v>#DIV/0!</v>
      </c>
      <c r="W71" s="7">
        <f>SUMIFS(Facturas!P:P,Facturas!B:B,Tabla1[[#This Row],[ID]],Facturas!T:T,"Cancelado")</f>
        <v>0</v>
      </c>
      <c r="X71" s="102" t="e">
        <f>Tabla1[[#This Row],[Ejecutado
S/.]]/SUMIF(AB:AB,Tabla1[[#This Row],[Año Proy]],T:T)</f>
        <v>#DIV/0!</v>
      </c>
      <c r="Y71" s="7" t="str">
        <f>IF(Tabla1[[#This Row],[Aprobado
S/.]]&gt;0,"Aprobado","Pendiente")</f>
        <v>Pendiente</v>
      </c>
      <c r="Z71" s="124"/>
      <c r="AA71" s="124">
        <f>Tabla1[[#This Row],[Fecha aprobación]]-DAY(Tabla1[[#This Row],[Fecha aprobación]])+1</f>
        <v>1</v>
      </c>
      <c r="AB71" s="28"/>
      <c r="AC71" s="28"/>
      <c r="AD71" s="78"/>
    </row>
    <row r="72" spans="2:30" hidden="1" x14ac:dyDescent="0.3">
      <c r="B72" s="77"/>
      <c r="C72" s="4"/>
      <c r="D72" s="3"/>
      <c r="E72" s="15"/>
      <c r="F72" s="15"/>
      <c r="G72" s="15"/>
      <c r="H72" s="15"/>
      <c r="I72" s="15">
        <f>IF(H72="S",1,IF(H72="M",2,IF(H72="L",4,IF(H72="XL",6,0))))</f>
        <v>0</v>
      </c>
      <c r="J72" s="15"/>
      <c r="K72" s="15"/>
      <c r="L72" s="15"/>
      <c r="M72" s="15" t="s">
        <v>68</v>
      </c>
      <c r="N72" s="15"/>
      <c r="O72" s="16"/>
      <c r="P72" s="16"/>
      <c r="Q72" s="16"/>
      <c r="R72" s="16"/>
      <c r="S72" s="16"/>
      <c r="T72" s="7"/>
      <c r="U72" s="7">
        <f>SUMIF(Facturas!B:B,Tabla1[[#This Row],[ID]],Facturas!P:P)</f>
        <v>0</v>
      </c>
      <c r="V72" s="102" t="e">
        <f>Tabla1[[#This Row],[Aprobado
S/.]]/SUMIF(AB:AB,Tabla1[[#This Row],[Año Proy]],T:T)</f>
        <v>#DIV/0!</v>
      </c>
      <c r="W72" s="7">
        <f>SUMIFS(Facturas!P:P,Facturas!B:B,Tabla1[[#This Row],[ID]],Facturas!T:T,"Cancelado")</f>
        <v>0</v>
      </c>
      <c r="X72" s="102" t="e">
        <f>Tabla1[[#This Row],[Ejecutado
S/.]]/SUMIF(AB:AB,Tabla1[[#This Row],[Año Proy]],T:T)</f>
        <v>#DIV/0!</v>
      </c>
      <c r="Y72" s="7" t="str">
        <f>IF(Tabla1[[#This Row],[Aprobado
S/.]]&gt;0,"Aprobado","Pendiente")</f>
        <v>Pendiente</v>
      </c>
      <c r="Z72" s="124"/>
      <c r="AA72" s="124">
        <f>Tabla1[[#This Row],[Fecha aprobación]]-DAY(Tabla1[[#This Row],[Fecha aprobación]])+1</f>
        <v>1</v>
      </c>
      <c r="AB72" s="28"/>
      <c r="AC72" s="28"/>
      <c r="AD72" s="78"/>
    </row>
    <row r="73" spans="2:30" hidden="1" x14ac:dyDescent="0.3">
      <c r="B73" s="77"/>
      <c r="C73" s="4"/>
      <c r="D73" s="3"/>
      <c r="E73" s="15"/>
      <c r="F73" s="15"/>
      <c r="G73" s="15"/>
      <c r="H73" s="15"/>
      <c r="I73" s="15">
        <f t="shared" si="1"/>
        <v>0</v>
      </c>
      <c r="J73" s="15"/>
      <c r="K73" s="15"/>
      <c r="L73" s="15"/>
      <c r="M73" s="15" t="s">
        <v>68</v>
      </c>
      <c r="N73" s="15"/>
      <c r="O73" s="16"/>
      <c r="P73" s="16"/>
      <c r="Q73" s="16"/>
      <c r="R73" s="16"/>
      <c r="S73" s="16"/>
      <c r="T73" s="7"/>
      <c r="U73" s="7">
        <f>SUMIF(Facturas!B:B,Tabla1[[#This Row],[ID]],Facturas!P:P)</f>
        <v>0</v>
      </c>
      <c r="V73" s="102" t="e">
        <f>Tabla1[[#This Row],[Aprobado
S/.]]/SUMIF(AB:AB,Tabla1[[#This Row],[Año Proy]],T:T)</f>
        <v>#DIV/0!</v>
      </c>
      <c r="W73" s="7">
        <f>SUMIFS(Facturas!P:P,Facturas!B:B,Tabla1[[#This Row],[ID]],Facturas!T:T,"Cancelado")</f>
        <v>0</v>
      </c>
      <c r="X73" s="102" t="e">
        <f>Tabla1[[#This Row],[Ejecutado
S/.]]/SUMIF(AB:AB,Tabla1[[#This Row],[Año Proy]],T:T)</f>
        <v>#DIV/0!</v>
      </c>
      <c r="Y73" s="7" t="str">
        <f>IF(Tabla1[[#This Row],[Aprobado
S/.]]&gt;0,"Aprobado","Pendiente")</f>
        <v>Pendiente</v>
      </c>
      <c r="Z73" s="124"/>
      <c r="AA73" s="124">
        <f>Tabla1[[#This Row],[Fecha aprobación]]-DAY(Tabla1[[#This Row],[Fecha aprobación]])+1</f>
        <v>1</v>
      </c>
      <c r="AB73" s="28"/>
      <c r="AC73" s="28"/>
      <c r="AD73" s="78"/>
    </row>
    <row r="74" spans="2:30" hidden="1" x14ac:dyDescent="0.3">
      <c r="B74" s="77"/>
      <c r="C74" s="4"/>
      <c r="D74" s="3"/>
      <c r="E74" s="15"/>
      <c r="F74" s="15"/>
      <c r="G74" s="15"/>
      <c r="H74" s="15"/>
      <c r="I74" s="15">
        <f>IF(H74="S",1,IF(H74="M",2,IF(H74="L",4,IF(H74="XL",6,0))))</f>
        <v>0</v>
      </c>
      <c r="J74" s="15"/>
      <c r="K74" s="15"/>
      <c r="L74" s="15"/>
      <c r="M74" s="15" t="s">
        <v>68</v>
      </c>
      <c r="N74" s="15"/>
      <c r="O74" s="16"/>
      <c r="P74" s="16"/>
      <c r="Q74" s="16"/>
      <c r="R74" s="16"/>
      <c r="S74" s="16"/>
      <c r="T74" s="7"/>
      <c r="U74" s="7">
        <f>SUMIF(Facturas!B:B,Tabla1[[#This Row],[ID]],Facturas!P:P)</f>
        <v>0</v>
      </c>
      <c r="V74" s="102" t="e">
        <f>Tabla1[[#This Row],[Aprobado
S/.]]/SUMIF(AB:AB,Tabla1[[#This Row],[Año Proy]],T:T)</f>
        <v>#DIV/0!</v>
      </c>
      <c r="W74" s="7">
        <f>SUMIFS(Facturas!P:P,Facturas!B:B,Tabla1[[#This Row],[ID]],Facturas!T:T,"Cancelado")</f>
        <v>0</v>
      </c>
      <c r="X74" s="102" t="e">
        <f>Tabla1[[#This Row],[Ejecutado
S/.]]/SUMIF(AB:AB,Tabla1[[#This Row],[Año Proy]],T:T)</f>
        <v>#DIV/0!</v>
      </c>
      <c r="Y74" s="7" t="str">
        <f>IF(Tabla1[[#This Row],[Aprobado
S/.]]&gt;0,"Aprobado","Pendiente")</f>
        <v>Pendiente</v>
      </c>
      <c r="Z74" s="124"/>
      <c r="AA74" s="124">
        <f>Tabla1[[#This Row],[Fecha aprobación]]-DAY(Tabla1[[#This Row],[Fecha aprobación]])+1</f>
        <v>1</v>
      </c>
      <c r="AB74" s="28"/>
      <c r="AC74" s="28"/>
      <c r="AD74" s="78"/>
    </row>
    <row r="75" spans="2:30" hidden="1" x14ac:dyDescent="0.3">
      <c r="B75" s="77"/>
      <c r="C75" s="4"/>
      <c r="D75" s="3"/>
      <c r="E75" s="15"/>
      <c r="F75" s="15"/>
      <c r="G75" s="15"/>
      <c r="H75" s="15"/>
      <c r="I75" s="15">
        <f>IF(H75="S",1,IF(H75="M",2,IF(H75="L",4,IF(H75="XL",6,0))))</f>
        <v>0</v>
      </c>
      <c r="J75" s="15"/>
      <c r="K75" s="15"/>
      <c r="L75" s="15"/>
      <c r="M75" s="15" t="s">
        <v>68</v>
      </c>
      <c r="N75" s="15"/>
      <c r="O75" s="16"/>
      <c r="P75" s="16"/>
      <c r="Q75" s="16"/>
      <c r="R75" s="16"/>
      <c r="S75" s="16"/>
      <c r="T75" s="7"/>
      <c r="U75" s="7">
        <f>SUMIF(Facturas!B:B,Tabla1[[#This Row],[ID]],Facturas!P:P)</f>
        <v>0</v>
      </c>
      <c r="V75" s="102" t="e">
        <f>Tabla1[[#This Row],[Aprobado
S/.]]/SUMIF(AB:AB,Tabla1[[#This Row],[Año Proy]],T:T)</f>
        <v>#DIV/0!</v>
      </c>
      <c r="W75" s="7">
        <f>SUMIFS(Facturas!P:P,Facturas!B:B,Tabla1[[#This Row],[ID]],Facturas!T:T,"Cancelado")</f>
        <v>0</v>
      </c>
      <c r="X75" s="102" t="e">
        <f>Tabla1[[#This Row],[Ejecutado
S/.]]/SUMIF(AB:AB,Tabla1[[#This Row],[Año Proy]],T:T)</f>
        <v>#DIV/0!</v>
      </c>
      <c r="Y75" s="7" t="str">
        <f>IF(Tabla1[[#This Row],[Aprobado
S/.]]&gt;0,"Aprobado","Pendiente")</f>
        <v>Pendiente</v>
      </c>
      <c r="Z75" s="124"/>
      <c r="AA75" s="124">
        <f>Tabla1[[#This Row],[Fecha aprobación]]-DAY(Tabla1[[#This Row],[Fecha aprobación]])+1</f>
        <v>1</v>
      </c>
      <c r="AB75" s="28"/>
      <c r="AC75" s="28"/>
      <c r="AD75" s="78"/>
    </row>
    <row r="76" spans="2:30" hidden="1" x14ac:dyDescent="0.3">
      <c r="B76" s="77"/>
      <c r="C76" s="4"/>
      <c r="D76" s="3"/>
      <c r="E76" s="15"/>
      <c r="F76" s="15"/>
      <c r="G76" s="15"/>
      <c r="H76" s="15"/>
      <c r="I76" s="15">
        <f>IF(H76="S",1,IF(H76="M",2,IF(H76="L",4,IF(H76="XL",6,0))))</f>
        <v>0</v>
      </c>
      <c r="J76" s="15"/>
      <c r="K76" s="15"/>
      <c r="L76" s="15"/>
      <c r="M76" s="15" t="s">
        <v>68</v>
      </c>
      <c r="N76" s="15"/>
      <c r="O76" s="16"/>
      <c r="P76" s="16"/>
      <c r="Q76" s="16"/>
      <c r="R76" s="16"/>
      <c r="S76" s="16"/>
      <c r="T76" s="7"/>
      <c r="U76" s="7">
        <f>SUMIF(Facturas!B:B,Tabla1[[#This Row],[ID]],Facturas!P:P)</f>
        <v>0</v>
      </c>
      <c r="V76" s="102" t="e">
        <f>Tabla1[[#This Row],[Aprobado
S/.]]/SUMIF(AB:AB,Tabla1[[#This Row],[Año Proy]],T:T)</f>
        <v>#DIV/0!</v>
      </c>
      <c r="W76" s="7">
        <f>SUMIFS(Facturas!P:P,Facturas!B:B,Tabla1[[#This Row],[ID]],Facturas!T:T,"Cancelado")</f>
        <v>0</v>
      </c>
      <c r="X76" s="102" t="e">
        <f>Tabla1[[#This Row],[Ejecutado
S/.]]/SUMIF(AB:AB,Tabla1[[#This Row],[Año Proy]],T:T)</f>
        <v>#DIV/0!</v>
      </c>
      <c r="Y76" s="7" t="str">
        <f>IF(Tabla1[[#This Row],[Aprobado
S/.]]&gt;0,"Aprobado","Pendiente")</f>
        <v>Pendiente</v>
      </c>
      <c r="Z76" s="124"/>
      <c r="AA76" s="124">
        <f>Tabla1[[#This Row],[Fecha aprobación]]-DAY(Tabla1[[#This Row],[Fecha aprobación]])+1</f>
        <v>1</v>
      </c>
      <c r="AB76" s="28"/>
      <c r="AC76" s="28"/>
      <c r="AD76" s="78"/>
    </row>
    <row r="77" spans="2:30" hidden="1" x14ac:dyDescent="0.3">
      <c r="B77" s="83"/>
      <c r="C77" s="84"/>
      <c r="D77" s="85"/>
      <c r="E77" s="86"/>
      <c r="F77" s="86"/>
      <c r="G77" s="86"/>
      <c r="H77" s="86"/>
      <c r="I77" s="15">
        <f>IF(H77="S",1,IF(H77="M",2,IF(H77="L",4,IF(H77="XL",6,0))))</f>
        <v>0</v>
      </c>
      <c r="J77" s="86"/>
      <c r="K77" s="86"/>
      <c r="L77" s="15"/>
      <c r="M77" s="15" t="s">
        <v>68</v>
      </c>
      <c r="N77" s="86"/>
      <c r="O77" s="87"/>
      <c r="P77" s="87"/>
      <c r="Q77" s="87"/>
      <c r="R77" s="87"/>
      <c r="S77" s="87"/>
      <c r="T77" s="88"/>
      <c r="U77" s="88">
        <f>SUMIF(Facturas!B:B,Tabla1[[#This Row],[ID]],Facturas!P:P)</f>
        <v>0</v>
      </c>
      <c r="V77" s="104" t="e">
        <f>Tabla1[[#This Row],[Aprobado
S/.]]/SUMIF(AB:AB,Tabla1[[#This Row],[Año Proy]],T:T)</f>
        <v>#DIV/0!</v>
      </c>
      <c r="W77" s="88">
        <f>SUMIFS(Facturas!P:P,Facturas!B:B,Tabla1[[#This Row],[ID]],Facturas!T:T,"Cancelado")</f>
        <v>0</v>
      </c>
      <c r="X77" s="104" t="e">
        <f>Tabla1[[#This Row],[Ejecutado
S/.]]/SUMIF(AB:AB,Tabla1[[#This Row],[Año Proy]],T:T)</f>
        <v>#DIV/0!</v>
      </c>
      <c r="Y77" s="88" t="str">
        <f>IF(Tabla1[[#This Row],[Aprobado
S/.]]&gt;0,"Aprobado","Pendiente")</f>
        <v>Pendiente</v>
      </c>
      <c r="Z77" s="125"/>
      <c r="AA77" s="125">
        <f>Tabla1[[#This Row],[Fecha aprobación]]-DAY(Tabla1[[#This Row],[Fecha aprobación]])+1</f>
        <v>1</v>
      </c>
      <c r="AB77" s="89"/>
      <c r="AC77" s="89"/>
      <c r="AD77" s="90"/>
    </row>
    <row r="78" spans="2:30" ht="15" hidden="1" customHeight="1" x14ac:dyDescent="0.3"/>
    <row r="79" spans="2:30" x14ac:dyDescent="0.3">
      <c r="I79" s="91">
        <f>SUBTOTAL(9,I3:I77)</f>
        <v>46</v>
      </c>
      <c r="J79" s="91">
        <f>SUBTOTAL(9,J3:J77)</f>
        <v>39</v>
      </c>
      <c r="S79" s="35" t="s">
        <v>260</v>
      </c>
      <c r="T79" s="66">
        <f>SUBTOTAL(9,T3:T77)</f>
        <v>256000</v>
      </c>
      <c r="U79" s="66">
        <f>SUBTOTAL(9,U3:U77)</f>
        <v>133515</v>
      </c>
      <c r="V79" s="105">
        <f>SUBTOTAL(9,V3:V77)</f>
        <v>0.52154296875000006</v>
      </c>
      <c r="W79" s="66">
        <f>SUBTOTAL(9,W3:W77)</f>
        <v>62190</v>
      </c>
      <c r="X79" s="105">
        <f>SUBTOTAL(9,X3:X77)</f>
        <v>0.24292968750000002</v>
      </c>
    </row>
    <row r="80" spans="2:30" x14ac:dyDescent="0.3">
      <c r="S80" s="35" t="s">
        <v>258</v>
      </c>
      <c r="T80" s="66">
        <f>T79*18%</f>
        <v>46080</v>
      </c>
      <c r="U80" s="66">
        <f>U79*18%</f>
        <v>24032.7</v>
      </c>
      <c r="W80" s="66">
        <f>W79*18%</f>
        <v>11194.199999999999</v>
      </c>
    </row>
    <row r="81" spans="19:23" x14ac:dyDescent="0.3">
      <c r="S81" s="35" t="s">
        <v>259</v>
      </c>
      <c r="T81" s="66">
        <f>T79+T80</f>
        <v>302080</v>
      </c>
      <c r="U81" s="66">
        <f>U79+U80</f>
        <v>157547.70000000001</v>
      </c>
      <c r="W81" s="66">
        <f>W79+W80</f>
        <v>73384.2</v>
      </c>
    </row>
  </sheetData>
  <mergeCells count="3">
    <mergeCell ref="E1:G1"/>
    <mergeCell ref="O1:S1"/>
    <mergeCell ref="H1:J1"/>
  </mergeCells>
  <phoneticPr fontId="8" type="noConversion"/>
  <conditionalFormatting sqref="M1:M1048576">
    <cfRule type="containsText" dxfId="23" priority="1" operator="containsText" text="Sin iniciar">
      <formula>NOT(ISERROR(SEARCH("Sin iniciar",M1)))</formula>
    </cfRule>
    <cfRule type="containsText" dxfId="22" priority="2" operator="containsText" text="En proceso">
      <formula>NOT(ISERROR(SEARCH("En proceso",M1)))</formula>
    </cfRule>
    <cfRule type="containsText" dxfId="21" priority="3" operator="containsText" text="Finalizado">
      <formula>NOT(ISERROR(SEARCH("Finalizado",M1)))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D982-9AC7-4AC5-A8FB-AFE78D35BB1A}">
  <sheetPr>
    <tabColor rgb="FFFF0000"/>
  </sheetPr>
  <dimension ref="A2:N73"/>
  <sheetViews>
    <sheetView showGridLines="0" zoomScale="78" zoomScaleNormal="115" workbookViewId="0">
      <selection activeCell="B11" sqref="B11"/>
    </sheetView>
  </sheetViews>
  <sheetFormatPr baseColWidth="10" defaultRowHeight="14.4" x14ac:dyDescent="0.3"/>
  <cols>
    <col min="2" max="2" width="25.5546875" customWidth="1"/>
    <col min="3" max="14" width="14.88671875" customWidth="1"/>
  </cols>
  <sheetData>
    <row r="2" spans="2:14" x14ac:dyDescent="0.3">
      <c r="C2" s="131" t="s">
        <v>565</v>
      </c>
      <c r="D2" s="131" t="s">
        <v>566</v>
      </c>
      <c r="E2" s="131" t="s">
        <v>567</v>
      </c>
      <c r="F2" s="131" t="s">
        <v>568</v>
      </c>
      <c r="G2" s="131" t="s">
        <v>569</v>
      </c>
      <c r="H2" s="131" t="s">
        <v>570</v>
      </c>
      <c r="I2" s="131" t="s">
        <v>571</v>
      </c>
      <c r="J2" s="131" t="s">
        <v>572</v>
      </c>
      <c r="K2" s="131" t="s">
        <v>573</v>
      </c>
      <c r="L2" s="131" t="s">
        <v>574</v>
      </c>
      <c r="M2" s="131" t="s">
        <v>575</v>
      </c>
      <c r="N2" s="131" t="s">
        <v>576</v>
      </c>
    </row>
    <row r="3" spans="2:14" x14ac:dyDescent="0.3">
      <c r="B3" s="132" t="s">
        <v>320</v>
      </c>
      <c r="C3" s="133">
        <v>256000</v>
      </c>
      <c r="D3" s="133">
        <f>C3</f>
        <v>256000</v>
      </c>
      <c r="E3" s="133">
        <f t="shared" ref="E3:N3" si="0">D3</f>
        <v>256000</v>
      </c>
      <c r="F3" s="133">
        <f t="shared" si="0"/>
        <v>256000</v>
      </c>
      <c r="G3" s="133">
        <f t="shared" si="0"/>
        <v>256000</v>
      </c>
      <c r="H3" s="133">
        <f t="shared" si="0"/>
        <v>256000</v>
      </c>
      <c r="I3" s="133">
        <f t="shared" si="0"/>
        <v>256000</v>
      </c>
      <c r="J3" s="133">
        <f t="shared" si="0"/>
        <v>256000</v>
      </c>
      <c r="K3" s="133">
        <f t="shared" si="0"/>
        <v>256000</v>
      </c>
      <c r="L3" s="133">
        <f t="shared" si="0"/>
        <v>256000</v>
      </c>
      <c r="M3" s="133">
        <f t="shared" si="0"/>
        <v>256000</v>
      </c>
      <c r="N3" s="133">
        <f t="shared" si="0"/>
        <v>256000</v>
      </c>
    </row>
    <row r="4" spans="2:14" x14ac:dyDescent="0.3">
      <c r="B4" s="132" t="s">
        <v>553</v>
      </c>
      <c r="C4" s="30">
        <v>20</v>
      </c>
      <c r="D4" s="30">
        <f>C4</f>
        <v>20</v>
      </c>
      <c r="E4" s="30">
        <f t="shared" ref="E4:N4" si="1">D4</f>
        <v>20</v>
      </c>
      <c r="F4" s="30">
        <f t="shared" si="1"/>
        <v>20</v>
      </c>
      <c r="G4" s="30">
        <f t="shared" si="1"/>
        <v>20</v>
      </c>
      <c r="H4" s="30">
        <f t="shared" si="1"/>
        <v>20</v>
      </c>
      <c r="I4" s="30">
        <f t="shared" si="1"/>
        <v>20</v>
      </c>
      <c r="J4" s="30">
        <f t="shared" si="1"/>
        <v>20</v>
      </c>
      <c r="K4" s="30">
        <f t="shared" si="1"/>
        <v>20</v>
      </c>
      <c r="L4" s="30">
        <f t="shared" si="1"/>
        <v>20</v>
      </c>
      <c r="M4" s="30">
        <f t="shared" si="1"/>
        <v>20</v>
      </c>
      <c r="N4" s="30">
        <f t="shared" si="1"/>
        <v>20</v>
      </c>
    </row>
    <row r="5" spans="2:14" x14ac:dyDescent="0.3"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14" x14ac:dyDescent="0.3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2:14" x14ac:dyDescent="0.3">
      <c r="C7" s="131" t="s">
        <v>268</v>
      </c>
      <c r="D7" s="131" t="s">
        <v>269</v>
      </c>
      <c r="E7" s="131" t="s">
        <v>270</v>
      </c>
      <c r="F7" s="131" t="s">
        <v>271</v>
      </c>
      <c r="G7" s="131" t="s">
        <v>272</v>
      </c>
      <c r="H7" s="131" t="s">
        <v>273</v>
      </c>
      <c r="I7" s="131" t="s">
        <v>274</v>
      </c>
      <c r="J7" s="131" t="s">
        <v>275</v>
      </c>
      <c r="K7" s="131" t="s">
        <v>673</v>
      </c>
      <c r="L7" s="131" t="s">
        <v>277</v>
      </c>
      <c r="M7" s="131" t="s">
        <v>278</v>
      </c>
      <c r="N7" s="131" t="s">
        <v>267</v>
      </c>
    </row>
    <row r="8" spans="2:14" x14ac:dyDescent="0.3">
      <c r="B8" s="132" t="s">
        <v>554</v>
      </c>
      <c r="C8" s="133">
        <v>1780</v>
      </c>
      <c r="D8" s="133">
        <v>1200</v>
      </c>
      <c r="E8" s="167">
        <f>3060+2420+46100</f>
        <v>51580</v>
      </c>
      <c r="F8" s="167">
        <v>925</v>
      </c>
      <c r="G8" s="167">
        <v>8000</v>
      </c>
      <c r="H8" s="167"/>
      <c r="I8" s="133"/>
      <c r="J8" s="133">
        <v>23680</v>
      </c>
      <c r="K8" s="133">
        <v>10850</v>
      </c>
      <c r="L8" s="133">
        <v>11200</v>
      </c>
      <c r="M8" s="133"/>
      <c r="N8" s="133"/>
    </row>
    <row r="9" spans="2:14" x14ac:dyDescent="0.3">
      <c r="B9" s="132" t="s">
        <v>555</v>
      </c>
      <c r="C9" s="133">
        <f>C8</f>
        <v>1780</v>
      </c>
      <c r="D9" s="133">
        <f>C9+D8</f>
        <v>2980</v>
      </c>
      <c r="E9" s="133">
        <f t="shared" ref="E9:N9" si="2">D9+E8</f>
        <v>54560</v>
      </c>
      <c r="F9" s="133">
        <f t="shared" si="2"/>
        <v>55485</v>
      </c>
      <c r="G9" s="133">
        <f t="shared" si="2"/>
        <v>63485</v>
      </c>
      <c r="H9" s="133">
        <f t="shared" si="2"/>
        <v>63485</v>
      </c>
      <c r="I9" s="133">
        <f t="shared" si="2"/>
        <v>63485</v>
      </c>
      <c r="J9" s="133">
        <f t="shared" si="2"/>
        <v>87165</v>
      </c>
      <c r="K9" s="133">
        <f t="shared" si="2"/>
        <v>98015</v>
      </c>
      <c r="L9" s="133">
        <f t="shared" si="2"/>
        <v>109215</v>
      </c>
      <c r="M9" s="133">
        <f>L9+M8</f>
        <v>109215</v>
      </c>
      <c r="N9" s="133">
        <f t="shared" si="2"/>
        <v>109215</v>
      </c>
    </row>
    <row r="10" spans="2:14" x14ac:dyDescent="0.3">
      <c r="B10" s="132" t="s">
        <v>549</v>
      </c>
      <c r="C10" s="129">
        <f>C9/C3</f>
        <v>6.9531250000000001E-3</v>
      </c>
      <c r="D10" s="129">
        <f t="shared" ref="D10:L10" si="3">D9/D3</f>
        <v>1.1640625E-2</v>
      </c>
      <c r="E10" s="129">
        <f t="shared" si="3"/>
        <v>0.21312500000000001</v>
      </c>
      <c r="F10" s="129">
        <f t="shared" si="3"/>
        <v>0.21673828125</v>
      </c>
      <c r="G10" s="129">
        <f>G9/G3</f>
        <v>0.24798828125</v>
      </c>
      <c r="H10" s="129">
        <f t="shared" si="3"/>
        <v>0.24798828125</v>
      </c>
      <c r="I10" s="129">
        <f t="shared" si="3"/>
        <v>0.24798828125</v>
      </c>
      <c r="J10" s="129">
        <f t="shared" si="3"/>
        <v>0.34048828125000002</v>
      </c>
      <c r="K10" s="129">
        <f t="shared" si="3"/>
        <v>0.38287109375</v>
      </c>
      <c r="L10" s="129">
        <f t="shared" si="3"/>
        <v>0.42662109375000001</v>
      </c>
      <c r="M10" s="129">
        <f>M9/M3</f>
        <v>0.42662109375000001</v>
      </c>
      <c r="N10" s="129">
        <f>N9/N3</f>
        <v>0.42662109375000001</v>
      </c>
    </row>
    <row r="11" spans="2:14" x14ac:dyDescent="0.3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2:14" x14ac:dyDescent="0.3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2:14" x14ac:dyDescent="0.3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2:14" x14ac:dyDescent="0.3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2:14" x14ac:dyDescent="0.3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2:14" x14ac:dyDescent="0.3"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2:14" x14ac:dyDescent="0.3"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2:14" x14ac:dyDescent="0.3"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2:14" x14ac:dyDescent="0.3"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</row>
    <row r="20" spans="2:14" x14ac:dyDescent="0.3"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2:14" x14ac:dyDescent="0.3"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2:14" x14ac:dyDescent="0.3"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2:14" x14ac:dyDescent="0.3"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2:14" x14ac:dyDescent="0.3"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2:14" x14ac:dyDescent="0.3"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2:14" x14ac:dyDescent="0.3"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2:14" x14ac:dyDescent="0.3"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2:14" x14ac:dyDescent="0.3">
      <c r="C28" s="131" t="s">
        <v>565</v>
      </c>
      <c r="D28" s="131" t="s">
        <v>566</v>
      </c>
      <c r="E28" s="131" t="s">
        <v>567</v>
      </c>
      <c r="F28" s="131" t="s">
        <v>568</v>
      </c>
      <c r="G28" s="131" t="s">
        <v>569</v>
      </c>
      <c r="H28" s="131" t="s">
        <v>570</v>
      </c>
      <c r="I28" s="131" t="s">
        <v>571</v>
      </c>
      <c r="J28" s="131" t="s">
        <v>572</v>
      </c>
      <c r="K28" s="131" t="s">
        <v>573</v>
      </c>
      <c r="L28" s="131" t="s">
        <v>574</v>
      </c>
      <c r="M28" s="131" t="s">
        <v>575</v>
      </c>
      <c r="N28" s="131" t="s">
        <v>576</v>
      </c>
    </row>
    <row r="29" spans="2:14" x14ac:dyDescent="0.3">
      <c r="B29" s="132" t="s">
        <v>558</v>
      </c>
      <c r="C29" s="133">
        <v>1780</v>
      </c>
      <c r="D29" s="133">
        <v>1200</v>
      </c>
      <c r="E29" s="133">
        <v>0</v>
      </c>
      <c r="F29" s="133">
        <v>11700</v>
      </c>
      <c r="G29" s="133">
        <v>6405</v>
      </c>
      <c r="H29" s="133">
        <v>10990</v>
      </c>
      <c r="I29" s="133">
        <v>9745</v>
      </c>
      <c r="J29" s="133">
        <v>5460</v>
      </c>
      <c r="K29" s="133">
        <v>20195</v>
      </c>
      <c r="L29" s="133">
        <v>26505</v>
      </c>
      <c r="M29" s="133"/>
      <c r="N29" s="133"/>
    </row>
    <row r="30" spans="2:14" x14ac:dyDescent="0.3">
      <c r="B30" s="132" t="s">
        <v>559</v>
      </c>
      <c r="C30" s="133">
        <f>C29</f>
        <v>1780</v>
      </c>
      <c r="D30" s="133">
        <f>C30+D29</f>
        <v>2980</v>
      </c>
      <c r="E30" s="133">
        <f t="shared" ref="E30:N30" si="4">D30+E29</f>
        <v>2980</v>
      </c>
      <c r="F30" s="133">
        <f t="shared" si="4"/>
        <v>14680</v>
      </c>
      <c r="G30" s="133">
        <f t="shared" si="4"/>
        <v>21085</v>
      </c>
      <c r="H30" s="133">
        <f t="shared" si="4"/>
        <v>32075</v>
      </c>
      <c r="I30" s="133">
        <f t="shared" si="4"/>
        <v>41820</v>
      </c>
      <c r="J30" s="133">
        <f t="shared" si="4"/>
        <v>47280</v>
      </c>
      <c r="K30" s="133">
        <f t="shared" si="4"/>
        <v>67475</v>
      </c>
      <c r="L30" s="133">
        <f t="shared" si="4"/>
        <v>93980</v>
      </c>
      <c r="M30" s="133">
        <f>L30+M29</f>
        <v>93980</v>
      </c>
      <c r="N30" s="133">
        <f t="shared" si="4"/>
        <v>93980</v>
      </c>
    </row>
    <row r="31" spans="2:14" x14ac:dyDescent="0.3">
      <c r="B31" s="132" t="s">
        <v>562</v>
      </c>
      <c r="C31" s="129">
        <f>C30/C3</f>
        <v>6.9531250000000001E-3</v>
      </c>
      <c r="D31" s="129">
        <f t="shared" ref="D31:N31" si="5">D30/D3</f>
        <v>1.1640625E-2</v>
      </c>
      <c r="E31" s="129">
        <f t="shared" si="5"/>
        <v>1.1640625E-2</v>
      </c>
      <c r="F31" s="129">
        <f t="shared" si="5"/>
        <v>5.7343749999999999E-2</v>
      </c>
      <c r="G31" s="129">
        <f t="shared" si="5"/>
        <v>8.2363281250000003E-2</v>
      </c>
      <c r="H31" s="129">
        <f t="shared" si="5"/>
        <v>0.12529296875000001</v>
      </c>
      <c r="I31" s="129">
        <f t="shared" si="5"/>
        <v>0.163359375</v>
      </c>
      <c r="J31" s="129">
        <f t="shared" si="5"/>
        <v>0.1846875</v>
      </c>
      <c r="K31" s="129">
        <f t="shared" si="5"/>
        <v>0.26357421874999998</v>
      </c>
      <c r="L31" s="129">
        <f t="shared" si="5"/>
        <v>0.36710937500000002</v>
      </c>
      <c r="M31" s="129">
        <f t="shared" si="5"/>
        <v>0.36710937500000002</v>
      </c>
      <c r="N31" s="129">
        <f t="shared" si="5"/>
        <v>0.36710937500000002</v>
      </c>
    </row>
    <row r="50" spans="1:14" x14ac:dyDescent="0.3">
      <c r="B50" s="132" t="s">
        <v>556</v>
      </c>
      <c r="C50" s="30">
        <v>1</v>
      </c>
      <c r="D50" s="30">
        <v>1</v>
      </c>
      <c r="E50" s="30">
        <v>3</v>
      </c>
      <c r="F50" s="30">
        <v>1</v>
      </c>
      <c r="G50" s="30">
        <v>2</v>
      </c>
      <c r="H50" s="30"/>
      <c r="I50" s="30"/>
      <c r="J50" s="30"/>
      <c r="K50" s="30"/>
      <c r="L50" s="30"/>
      <c r="M50" s="30"/>
      <c r="N50" s="30"/>
    </row>
    <row r="51" spans="1:14" x14ac:dyDescent="0.3">
      <c r="B51" s="132" t="s">
        <v>557</v>
      </c>
      <c r="C51" s="30">
        <f>C50</f>
        <v>1</v>
      </c>
      <c r="D51" s="30">
        <f>C51+D50</f>
        <v>2</v>
      </c>
      <c r="E51" s="30">
        <f t="shared" ref="E51:N51" si="6">D51+E50</f>
        <v>5</v>
      </c>
      <c r="F51" s="30">
        <f t="shared" si="6"/>
        <v>6</v>
      </c>
      <c r="G51" s="30">
        <f t="shared" si="6"/>
        <v>8</v>
      </c>
      <c r="H51" s="30">
        <f t="shared" si="6"/>
        <v>8</v>
      </c>
      <c r="I51" s="30">
        <f t="shared" si="6"/>
        <v>8</v>
      </c>
      <c r="J51" s="30">
        <f t="shared" si="6"/>
        <v>8</v>
      </c>
      <c r="K51" s="30">
        <f t="shared" si="6"/>
        <v>8</v>
      </c>
      <c r="L51" s="30">
        <f t="shared" si="6"/>
        <v>8</v>
      </c>
      <c r="M51" s="30">
        <f>L51+M50</f>
        <v>8</v>
      </c>
      <c r="N51" s="30">
        <f t="shared" si="6"/>
        <v>8</v>
      </c>
    </row>
    <row r="52" spans="1:14" x14ac:dyDescent="0.3">
      <c r="B52" s="132" t="s">
        <v>561</v>
      </c>
      <c r="C52" s="129">
        <f t="shared" ref="C52:L52" si="7">C51/C4</f>
        <v>0.05</v>
      </c>
      <c r="D52" s="129">
        <f t="shared" si="7"/>
        <v>0.1</v>
      </c>
      <c r="E52" s="129">
        <f t="shared" si="7"/>
        <v>0.25</v>
      </c>
      <c r="F52" s="129">
        <f t="shared" si="7"/>
        <v>0.3</v>
      </c>
      <c r="G52" s="129">
        <f t="shared" si="7"/>
        <v>0.4</v>
      </c>
      <c r="H52" s="129">
        <f t="shared" si="7"/>
        <v>0.4</v>
      </c>
      <c r="I52" s="129">
        <f t="shared" si="7"/>
        <v>0.4</v>
      </c>
      <c r="J52" s="129">
        <f t="shared" si="7"/>
        <v>0.4</v>
      </c>
      <c r="K52" s="129">
        <f t="shared" si="7"/>
        <v>0.4</v>
      </c>
      <c r="L52" s="129">
        <f t="shared" si="7"/>
        <v>0.4</v>
      </c>
      <c r="M52" s="129">
        <f>M51/M4</f>
        <v>0.4</v>
      </c>
      <c r="N52" s="129">
        <f>N51/N4</f>
        <v>0.4</v>
      </c>
    </row>
    <row r="53" spans="1:14" x14ac:dyDescent="0.3">
      <c r="A53">
        <v>1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3">
      <c r="A54">
        <v>2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3">
      <c r="A55">
        <v>3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3">
      <c r="A56">
        <v>4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3">
      <c r="A57">
        <v>5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3">
      <c r="A58">
        <v>6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3">
      <c r="A59">
        <v>7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3">
      <c r="A60">
        <v>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3">
      <c r="A61">
        <v>9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3">
      <c r="A62">
        <v>10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3">
      <c r="A63">
        <v>11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3">
      <c r="A64">
        <v>12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>
        <v>13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3">
      <c r="A66">
        <v>14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3">
      <c r="A67">
        <v>15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3">
      <c r="A68">
        <v>16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3">
      <c r="A69">
        <v>17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3">
      <c r="A70">
        <v>18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3">
      <c r="B71" s="132" t="s">
        <v>551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</row>
    <row r="72" spans="1:14" x14ac:dyDescent="0.3">
      <c r="B72" s="132" t="s">
        <v>552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</row>
    <row r="73" spans="1:14" x14ac:dyDescent="0.3">
      <c r="B73" s="132" t="s">
        <v>550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</row>
  </sheetData>
  <phoneticPr fontId="8" type="noConversion"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CEC9-8487-4C29-B145-C2CA3D8EF826}">
  <sheetPr filterMode="1"/>
  <dimension ref="A1:BY100"/>
  <sheetViews>
    <sheetView showGridLines="0" zoomScaleNormal="10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H67" sqref="H67"/>
    </sheetView>
  </sheetViews>
  <sheetFormatPr baseColWidth="10" defaultColWidth="0" defaultRowHeight="14.4" x14ac:dyDescent="0.3"/>
  <cols>
    <col min="1" max="1" width="15.44140625" style="6" customWidth="1"/>
    <col min="2" max="2" width="39.109375" style="6" customWidth="1"/>
    <col min="3" max="3" width="40" style="6" customWidth="1"/>
    <col min="4" max="5" width="12.109375" style="13" customWidth="1"/>
    <col min="6" max="8" width="4" style="13" customWidth="1"/>
    <col min="9" max="10" width="9.5546875" style="13" customWidth="1"/>
    <col min="11" max="11" width="9.5546875" style="13" hidden="1" customWidth="1"/>
    <col min="12" max="16" width="3.6640625" style="13" customWidth="1"/>
    <col min="17" max="17" width="19.5546875" style="5" hidden="1" customWidth="1"/>
    <col min="18" max="30" width="15.33203125" style="5" hidden="1" customWidth="1"/>
    <col min="31" max="43" width="11.44140625" style="5" hidden="1" customWidth="1"/>
    <col min="44" max="44" width="13.88671875" style="5" customWidth="1"/>
    <col min="45" max="45" width="11.44140625" style="5" hidden="1" customWidth="1"/>
    <col min="46" max="46" width="11.44140625" style="5" customWidth="1"/>
    <col min="47" max="47" width="3.44140625" style="5" customWidth="1"/>
    <col min="48" max="54" width="10.6640625" style="13" customWidth="1"/>
    <col min="55" max="57" width="11.44140625" style="5" customWidth="1"/>
    <col min="58" max="60" width="11.44140625" style="5" hidden="1" customWidth="1"/>
    <col min="61" max="62" width="0" style="5" hidden="1" customWidth="1"/>
    <col min="63" max="67" width="11.44140625" style="5" hidden="1" customWidth="1"/>
    <col min="68" max="77" width="0" style="5" hidden="1" customWidth="1"/>
    <col min="78" max="16384" width="11.44140625" style="5" hidden="1"/>
  </cols>
  <sheetData>
    <row r="1" spans="1:54" x14ac:dyDescent="0.3">
      <c r="A1" s="24"/>
      <c r="B1" s="24"/>
      <c r="D1" s="187" t="s">
        <v>104</v>
      </c>
      <c r="E1" s="187"/>
      <c r="F1" s="187" t="s">
        <v>144</v>
      </c>
      <c r="G1" s="187"/>
      <c r="H1" s="187"/>
      <c r="L1" s="188" t="s">
        <v>116</v>
      </c>
      <c r="M1" s="188"/>
      <c r="N1" s="188"/>
      <c r="O1" s="188"/>
      <c r="P1" s="188"/>
      <c r="AR1" s="13"/>
      <c r="AT1" s="13"/>
      <c r="AU1" s="13"/>
      <c r="AV1" s="13">
        <f>D73</f>
        <v>6</v>
      </c>
      <c r="AW1" s="13">
        <f>D74</f>
        <v>5</v>
      </c>
      <c r="AX1" s="13">
        <f>D75</f>
        <v>4</v>
      </c>
      <c r="AY1" s="13">
        <f>D76</f>
        <v>3</v>
      </c>
      <c r="AZ1" s="13">
        <f>D77</f>
        <v>2</v>
      </c>
      <c r="BA1" s="13">
        <f>D78</f>
        <v>1</v>
      </c>
      <c r="BB1" s="21"/>
    </row>
    <row r="2" spans="1:54" ht="55.2" x14ac:dyDescent="0.3">
      <c r="A2" s="9" t="s">
        <v>332</v>
      </c>
      <c r="B2" s="9" t="s">
        <v>49</v>
      </c>
      <c r="C2" s="9" t="s">
        <v>70</v>
      </c>
      <c r="D2" s="10" t="s">
        <v>105</v>
      </c>
      <c r="E2" s="10" t="s">
        <v>106</v>
      </c>
      <c r="F2" s="23" t="s">
        <v>137</v>
      </c>
      <c r="G2" s="23" t="s">
        <v>143</v>
      </c>
      <c r="H2" s="23" t="s">
        <v>156</v>
      </c>
      <c r="I2" s="10" t="s">
        <v>114</v>
      </c>
      <c r="J2" s="10" t="s">
        <v>51</v>
      </c>
      <c r="K2" s="10" t="s">
        <v>50</v>
      </c>
      <c r="L2" s="20" t="s">
        <v>82</v>
      </c>
      <c r="M2" s="20" t="s">
        <v>76</v>
      </c>
      <c r="N2" s="20" t="s">
        <v>154</v>
      </c>
      <c r="O2" s="20" t="s">
        <v>130</v>
      </c>
      <c r="P2" s="20" t="s">
        <v>117</v>
      </c>
      <c r="Q2" s="14" t="s">
        <v>52</v>
      </c>
      <c r="R2" s="10" t="s">
        <v>85</v>
      </c>
      <c r="S2" s="10" t="s">
        <v>53</v>
      </c>
      <c r="T2" s="10" t="s">
        <v>54</v>
      </c>
      <c r="U2" s="10" t="s">
        <v>55</v>
      </c>
      <c r="V2" s="10" t="s">
        <v>56</v>
      </c>
      <c r="W2" s="10" t="s">
        <v>57</v>
      </c>
      <c r="X2" s="10" t="s">
        <v>58</v>
      </c>
      <c r="Y2" s="10" t="s">
        <v>59</v>
      </c>
      <c r="Z2" s="10" t="s">
        <v>60</v>
      </c>
      <c r="AA2" s="10" t="s">
        <v>61</v>
      </c>
      <c r="AB2" s="10" t="s">
        <v>62</v>
      </c>
      <c r="AC2" s="10" t="s">
        <v>63</v>
      </c>
      <c r="AD2" s="10" t="s">
        <v>64</v>
      </c>
      <c r="AE2" s="12">
        <v>44927</v>
      </c>
      <c r="AF2" s="12">
        <v>44958</v>
      </c>
      <c r="AG2" s="12">
        <v>44986</v>
      </c>
      <c r="AH2" s="12">
        <v>45017</v>
      </c>
      <c r="AI2" s="12">
        <v>45047</v>
      </c>
      <c r="AJ2" s="12">
        <v>45078</v>
      </c>
      <c r="AK2" s="12">
        <v>45108</v>
      </c>
      <c r="AL2" s="12">
        <v>45139</v>
      </c>
      <c r="AM2" s="12">
        <v>45170</v>
      </c>
      <c r="AN2" s="12">
        <v>45200</v>
      </c>
      <c r="AO2" s="12">
        <v>45231</v>
      </c>
      <c r="AP2" s="12">
        <v>45261</v>
      </c>
      <c r="AQ2" s="10" t="s">
        <v>65</v>
      </c>
      <c r="AR2" s="10" t="s">
        <v>66</v>
      </c>
      <c r="AS2" s="10" t="s">
        <v>67</v>
      </c>
      <c r="AT2" s="10" t="s">
        <v>129</v>
      </c>
      <c r="AU2" s="10"/>
      <c r="AV2" s="19" t="s">
        <v>148</v>
      </c>
      <c r="AW2" s="19" t="s">
        <v>158</v>
      </c>
      <c r="AX2" s="19" t="s">
        <v>119</v>
      </c>
      <c r="AY2" s="19" t="s">
        <v>155</v>
      </c>
      <c r="AZ2" s="19" t="s">
        <v>149</v>
      </c>
      <c r="BA2" s="19" t="s">
        <v>157</v>
      </c>
    </row>
    <row r="3" spans="1:54" x14ac:dyDescent="0.3">
      <c r="A3" s="4" t="s">
        <v>336</v>
      </c>
      <c r="B3" s="4" t="s">
        <v>357</v>
      </c>
      <c r="C3" s="4"/>
      <c r="D3" s="15" t="s">
        <v>21</v>
      </c>
      <c r="E3" s="15"/>
      <c r="F3" s="15" t="s">
        <v>139</v>
      </c>
      <c r="G3" s="15">
        <f t="shared" ref="G3:G57" si="0">IF(F3="S",1,IF(F3="M",2,IF(F3="L",4,0)))</f>
        <v>4</v>
      </c>
      <c r="H3" s="15">
        <v>4</v>
      </c>
      <c r="I3" s="15" t="s">
        <v>134</v>
      </c>
      <c r="J3" s="15" t="s">
        <v>69</v>
      </c>
      <c r="K3" s="15" t="s">
        <v>68</v>
      </c>
      <c r="L3" s="16" t="s">
        <v>115</v>
      </c>
      <c r="M3" s="16"/>
      <c r="N3" s="16"/>
      <c r="O3" s="16"/>
      <c r="P3" s="16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1">
        <f>$AR$3*$AF$74</f>
        <v>6900</v>
      </c>
      <c r="AF3" s="31">
        <f>$AR$3*$AH$74</f>
        <v>4024.9999999999995</v>
      </c>
      <c r="AG3" s="31">
        <f t="shared" ref="AG3:AI4" si="1">AF3</f>
        <v>4024.9999999999995</v>
      </c>
      <c r="AH3" s="31">
        <f t="shared" si="1"/>
        <v>4024.9999999999995</v>
      </c>
      <c r="AI3" s="31">
        <f t="shared" si="1"/>
        <v>4024.9999999999995</v>
      </c>
      <c r="AJ3" s="31"/>
      <c r="AK3" s="31"/>
      <c r="AL3" s="31"/>
      <c r="AM3" s="31"/>
      <c r="AN3" s="31"/>
      <c r="AO3" s="31"/>
      <c r="AP3" s="31"/>
      <c r="AQ3" s="31">
        <f t="shared" ref="AQ3:AQ23" si="2">SUM(AE3:AP3)</f>
        <v>23000</v>
      </c>
      <c r="AR3" s="7">
        <v>23000</v>
      </c>
      <c r="AS3" s="7"/>
      <c r="AT3" s="28">
        <v>2023</v>
      </c>
      <c r="AU3" s="15" t="s">
        <v>246</v>
      </c>
      <c r="AV3" s="22">
        <v>5</v>
      </c>
      <c r="AW3" s="22">
        <v>5</v>
      </c>
      <c r="AX3" s="22">
        <v>5</v>
      </c>
      <c r="AY3" s="22">
        <v>3</v>
      </c>
      <c r="AZ3" s="22">
        <v>5</v>
      </c>
      <c r="BA3" s="22">
        <v>1</v>
      </c>
      <c r="BB3" s="25">
        <f t="shared" ref="BB3:BB57" si="3">AV3*$AV$1+AZ3*$AZ$1+AX3*$AX$1+AY3*$AY$1+AW3*$AW$1+BA3*$BA$1</f>
        <v>95</v>
      </c>
    </row>
    <row r="4" spans="1:54" x14ac:dyDescent="0.3">
      <c r="A4" s="4" t="s">
        <v>337</v>
      </c>
      <c r="B4" s="4" t="s">
        <v>333</v>
      </c>
      <c r="C4" s="3"/>
      <c r="D4" s="15" t="s">
        <v>21</v>
      </c>
      <c r="E4" s="15"/>
      <c r="F4" s="15" t="s">
        <v>139</v>
      </c>
      <c r="G4" s="15">
        <f t="shared" si="0"/>
        <v>4</v>
      </c>
      <c r="H4" s="15">
        <v>4</v>
      </c>
      <c r="I4" s="15" t="s">
        <v>134</v>
      </c>
      <c r="J4" s="15" t="s">
        <v>69</v>
      </c>
      <c r="K4" s="15" t="s">
        <v>68</v>
      </c>
      <c r="L4" s="16" t="s">
        <v>115</v>
      </c>
      <c r="M4" s="16"/>
      <c r="N4" s="16"/>
      <c r="O4" s="16" t="s">
        <v>115</v>
      </c>
      <c r="P4" s="16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1">
        <f>$AR$4*$AF$74</f>
        <v>11100</v>
      </c>
      <c r="AF4" s="31">
        <f>$AR$4*$AH$74</f>
        <v>6475</v>
      </c>
      <c r="AG4" s="31">
        <f t="shared" si="1"/>
        <v>6475</v>
      </c>
      <c r="AH4" s="31">
        <f t="shared" si="1"/>
        <v>6475</v>
      </c>
      <c r="AI4" s="31">
        <f t="shared" si="1"/>
        <v>6475</v>
      </c>
      <c r="AJ4" s="31"/>
      <c r="AK4" s="31"/>
      <c r="AL4" s="31"/>
      <c r="AM4" s="31"/>
      <c r="AN4" s="31"/>
      <c r="AO4" s="31"/>
      <c r="AP4" s="31"/>
      <c r="AQ4" s="31">
        <f t="shared" si="2"/>
        <v>37000</v>
      </c>
      <c r="AR4" s="7">
        <v>37000</v>
      </c>
      <c r="AS4" s="7"/>
      <c r="AT4" s="28">
        <v>2023</v>
      </c>
      <c r="AU4" s="15" t="s">
        <v>246</v>
      </c>
      <c r="AV4" s="22">
        <v>5</v>
      </c>
      <c r="AW4" s="22">
        <v>5</v>
      </c>
      <c r="AX4" s="22">
        <v>5</v>
      </c>
      <c r="AY4" s="22">
        <v>3</v>
      </c>
      <c r="AZ4" s="22">
        <v>5</v>
      </c>
      <c r="BA4" s="22">
        <v>1</v>
      </c>
      <c r="BB4" s="25">
        <f t="shared" si="3"/>
        <v>95</v>
      </c>
    </row>
    <row r="5" spans="1:54" x14ac:dyDescent="0.3">
      <c r="A5" s="4" t="s">
        <v>338</v>
      </c>
      <c r="B5" s="4" t="s">
        <v>335</v>
      </c>
      <c r="C5" s="3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7"/>
      <c r="AS5" s="7"/>
      <c r="AT5" s="28"/>
      <c r="AU5" s="15"/>
      <c r="AV5" s="22"/>
      <c r="AW5" s="22"/>
      <c r="AX5" s="22"/>
      <c r="AY5" s="22"/>
      <c r="AZ5" s="22"/>
      <c r="BA5" s="22"/>
      <c r="BB5" s="25"/>
    </row>
    <row r="6" spans="1:54" x14ac:dyDescent="0.3">
      <c r="A6" s="4" t="s">
        <v>339</v>
      </c>
      <c r="B6" s="4" t="s">
        <v>334</v>
      </c>
      <c r="C6" s="3"/>
      <c r="D6" s="15"/>
      <c r="E6" s="15"/>
      <c r="F6" s="15"/>
      <c r="G6" s="15"/>
      <c r="H6" s="15"/>
      <c r="I6" s="15"/>
      <c r="J6" s="15"/>
      <c r="K6" s="15"/>
      <c r="L6" s="16"/>
      <c r="M6" s="16"/>
      <c r="N6" s="16"/>
      <c r="O6" s="16"/>
      <c r="P6" s="1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7"/>
      <c r="AS6" s="7"/>
      <c r="AT6" s="28"/>
      <c r="AU6" s="15"/>
      <c r="AV6" s="22"/>
      <c r="AW6" s="22"/>
      <c r="AX6" s="22"/>
      <c r="AY6" s="22"/>
      <c r="AZ6" s="22"/>
      <c r="BA6" s="22"/>
      <c r="BB6" s="25"/>
    </row>
    <row r="7" spans="1:54" x14ac:dyDescent="0.3">
      <c r="A7" s="4" t="s">
        <v>340</v>
      </c>
      <c r="B7" s="4" t="s">
        <v>131</v>
      </c>
      <c r="C7" s="3"/>
      <c r="D7" s="15" t="s">
        <v>13</v>
      </c>
      <c r="E7" s="15"/>
      <c r="F7" s="15" t="s">
        <v>138</v>
      </c>
      <c r="G7" s="15">
        <f t="shared" si="0"/>
        <v>2</v>
      </c>
      <c r="H7" s="15">
        <v>1</v>
      </c>
      <c r="I7" s="15" t="s">
        <v>191</v>
      </c>
      <c r="J7" s="15"/>
      <c r="K7" s="15" t="s">
        <v>68</v>
      </c>
      <c r="L7" s="16" t="s">
        <v>115</v>
      </c>
      <c r="M7" s="16"/>
      <c r="N7" s="16" t="s">
        <v>115</v>
      </c>
      <c r="O7" s="16"/>
      <c r="P7" s="1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1"/>
      <c r="AF7" s="31">
        <f>AR7*45%</f>
        <v>9000</v>
      </c>
      <c r="AG7" s="31">
        <f>AR7*45%</f>
        <v>9000</v>
      </c>
      <c r="AH7" s="31">
        <f>AR7*10%</f>
        <v>2000</v>
      </c>
      <c r="AI7" s="31"/>
      <c r="AJ7" s="31"/>
      <c r="AK7" s="31"/>
      <c r="AL7" s="31"/>
      <c r="AM7" s="31"/>
      <c r="AN7" s="31"/>
      <c r="AO7" s="31"/>
      <c r="AP7" s="31"/>
      <c r="AQ7" s="31">
        <f t="shared" si="2"/>
        <v>20000</v>
      </c>
      <c r="AR7" s="7">
        <v>20000</v>
      </c>
      <c r="AS7" s="7"/>
      <c r="AT7" s="28">
        <v>2023</v>
      </c>
      <c r="AU7" s="15" t="s">
        <v>246</v>
      </c>
      <c r="AV7" s="22">
        <v>3</v>
      </c>
      <c r="AW7" s="22">
        <v>3</v>
      </c>
      <c r="AX7" s="22">
        <v>5</v>
      </c>
      <c r="AY7" s="22">
        <v>5</v>
      </c>
      <c r="AZ7" s="22">
        <v>1</v>
      </c>
      <c r="BA7" s="22">
        <v>1</v>
      </c>
      <c r="BB7" s="25">
        <f t="shared" si="3"/>
        <v>71</v>
      </c>
    </row>
    <row r="8" spans="1:54" x14ac:dyDescent="0.3">
      <c r="A8" s="4" t="s">
        <v>341</v>
      </c>
      <c r="B8" s="4" t="s">
        <v>358</v>
      </c>
      <c r="C8" s="3" t="s">
        <v>141</v>
      </c>
      <c r="D8" s="15" t="s">
        <v>19</v>
      </c>
      <c r="E8" s="15"/>
      <c r="F8" s="15" t="s">
        <v>139</v>
      </c>
      <c r="G8" s="15">
        <f t="shared" si="0"/>
        <v>4</v>
      </c>
      <c r="H8" s="15">
        <v>4</v>
      </c>
      <c r="I8" s="15" t="s">
        <v>83</v>
      </c>
      <c r="J8" s="15" t="s">
        <v>69</v>
      </c>
      <c r="K8" s="15" t="s">
        <v>68</v>
      </c>
      <c r="L8" s="16" t="s">
        <v>115</v>
      </c>
      <c r="M8" s="16"/>
      <c r="N8" s="16"/>
      <c r="O8" s="16" t="s">
        <v>115</v>
      </c>
      <c r="P8" s="1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1"/>
      <c r="AF8" s="31"/>
      <c r="AG8" s="31">
        <f>$AR$8*$AF$74</f>
        <v>6750</v>
      </c>
      <c r="AH8" s="31">
        <f>$AR$8*$AH$74</f>
        <v>3937.4999999999995</v>
      </c>
      <c r="AI8" s="31">
        <f>AH8</f>
        <v>3937.4999999999995</v>
      </c>
      <c r="AJ8" s="31">
        <f>AI8</f>
        <v>3937.4999999999995</v>
      </c>
      <c r="AK8" s="31">
        <f>AJ8</f>
        <v>3937.4999999999995</v>
      </c>
      <c r="AL8" s="31"/>
      <c r="AM8" s="31"/>
      <c r="AN8" s="31"/>
      <c r="AO8" s="31"/>
      <c r="AP8" s="31"/>
      <c r="AQ8" s="31">
        <f t="shared" si="2"/>
        <v>22500</v>
      </c>
      <c r="AR8" s="7">
        <v>22500</v>
      </c>
      <c r="AS8" s="7"/>
      <c r="AT8" s="28">
        <v>2023</v>
      </c>
      <c r="AU8" s="15" t="s">
        <v>246</v>
      </c>
      <c r="AV8" s="22">
        <v>5</v>
      </c>
      <c r="AW8" s="22">
        <v>1</v>
      </c>
      <c r="AX8" s="22">
        <v>5</v>
      </c>
      <c r="AY8" s="22">
        <v>5</v>
      </c>
      <c r="AZ8" s="22">
        <v>1</v>
      </c>
      <c r="BA8" s="22">
        <v>5</v>
      </c>
      <c r="BB8" s="25">
        <f t="shared" si="3"/>
        <v>77</v>
      </c>
    </row>
    <row r="9" spans="1:54" x14ac:dyDescent="0.3">
      <c r="A9" s="4" t="s">
        <v>342</v>
      </c>
      <c r="B9" s="4" t="s">
        <v>359</v>
      </c>
      <c r="C9" s="3" t="s">
        <v>142</v>
      </c>
      <c r="D9" s="15" t="s">
        <v>14</v>
      </c>
      <c r="E9" s="15"/>
      <c r="F9" s="15" t="s">
        <v>139</v>
      </c>
      <c r="G9" s="15">
        <f t="shared" si="0"/>
        <v>4</v>
      </c>
      <c r="H9" s="15">
        <v>4</v>
      </c>
      <c r="I9" s="15" t="s">
        <v>112</v>
      </c>
      <c r="J9" s="15" t="s">
        <v>69</v>
      </c>
      <c r="K9" s="15" t="s">
        <v>68</v>
      </c>
      <c r="L9" s="16" t="s">
        <v>115</v>
      </c>
      <c r="M9" s="16"/>
      <c r="N9" s="16"/>
      <c r="O9" s="16" t="s">
        <v>115</v>
      </c>
      <c r="P9" s="16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1"/>
      <c r="AF9" s="31"/>
      <c r="AG9" s="31"/>
      <c r="AH9" s="31">
        <f>$AR$9*$AF$74</f>
        <v>6750</v>
      </c>
      <c r="AI9" s="31">
        <f>$AR$9*$AH$74</f>
        <v>3937.4999999999995</v>
      </c>
      <c r="AJ9" s="31">
        <f>AI9</f>
        <v>3937.4999999999995</v>
      </c>
      <c r="AK9" s="31">
        <f>AJ9</f>
        <v>3937.4999999999995</v>
      </c>
      <c r="AL9" s="31">
        <f>AK9</f>
        <v>3937.4999999999995</v>
      </c>
      <c r="AM9" s="31"/>
      <c r="AN9" s="31"/>
      <c r="AO9" s="31"/>
      <c r="AP9" s="31"/>
      <c r="AQ9" s="31">
        <f t="shared" si="2"/>
        <v>22500</v>
      </c>
      <c r="AR9" s="7">
        <v>22500</v>
      </c>
      <c r="AS9" s="7"/>
      <c r="AT9" s="28">
        <v>2023</v>
      </c>
      <c r="AU9" s="15" t="s">
        <v>247</v>
      </c>
      <c r="AV9" s="22">
        <v>5</v>
      </c>
      <c r="AW9" s="22">
        <v>1</v>
      </c>
      <c r="AX9" s="22">
        <v>3</v>
      </c>
      <c r="AY9" s="22">
        <v>5</v>
      </c>
      <c r="AZ9" s="22">
        <v>1</v>
      </c>
      <c r="BA9" s="22">
        <v>5</v>
      </c>
      <c r="BB9" s="25">
        <f t="shared" si="3"/>
        <v>69</v>
      </c>
    </row>
    <row r="10" spans="1:54" x14ac:dyDescent="0.3">
      <c r="A10" s="4" t="s">
        <v>343</v>
      </c>
      <c r="B10" s="4" t="s">
        <v>360</v>
      </c>
      <c r="C10" s="3"/>
      <c r="D10" s="15" t="s">
        <v>13</v>
      </c>
      <c r="E10" s="15"/>
      <c r="F10" s="15" t="s">
        <v>140</v>
      </c>
      <c r="G10" s="15">
        <f t="shared" si="0"/>
        <v>1</v>
      </c>
      <c r="H10" s="15">
        <v>0</v>
      </c>
      <c r="I10" s="15" t="s">
        <v>191</v>
      </c>
      <c r="J10" s="15" t="s">
        <v>69</v>
      </c>
      <c r="K10" s="15" t="s">
        <v>68</v>
      </c>
      <c r="L10" s="16"/>
      <c r="M10" s="16"/>
      <c r="N10" s="16" t="s">
        <v>115</v>
      </c>
      <c r="O10" s="16"/>
      <c r="P10" s="1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1"/>
      <c r="AF10" s="31"/>
      <c r="AG10" s="31"/>
      <c r="AH10" s="31">
        <v>4000</v>
      </c>
      <c r="AI10" s="31"/>
      <c r="AJ10" s="31"/>
      <c r="AK10" s="31"/>
      <c r="AL10" s="31"/>
      <c r="AM10" s="31"/>
      <c r="AN10" s="31"/>
      <c r="AO10" s="31"/>
      <c r="AP10" s="31"/>
      <c r="AQ10" s="31">
        <f t="shared" si="2"/>
        <v>4000</v>
      </c>
      <c r="AR10" s="7">
        <v>4000</v>
      </c>
      <c r="AS10" s="7"/>
      <c r="AT10" s="28">
        <v>2023</v>
      </c>
      <c r="AU10" s="15" t="s">
        <v>247</v>
      </c>
      <c r="AV10" s="22">
        <v>5</v>
      </c>
      <c r="AW10" s="22">
        <v>5</v>
      </c>
      <c r="AX10" s="22">
        <v>1</v>
      </c>
      <c r="AY10" s="22">
        <v>3</v>
      </c>
      <c r="AZ10" s="22">
        <v>3</v>
      </c>
      <c r="BA10" s="22">
        <v>1</v>
      </c>
      <c r="BB10" s="25">
        <f t="shared" si="3"/>
        <v>75</v>
      </c>
    </row>
    <row r="11" spans="1:54" x14ac:dyDescent="0.3">
      <c r="A11" s="4" t="s">
        <v>344</v>
      </c>
      <c r="B11" s="4" t="s">
        <v>361</v>
      </c>
      <c r="C11" s="3" t="s">
        <v>88</v>
      </c>
      <c r="D11" s="15" t="s">
        <v>19</v>
      </c>
      <c r="E11" s="15"/>
      <c r="F11" s="15" t="s">
        <v>138</v>
      </c>
      <c r="G11" s="15">
        <f t="shared" si="0"/>
        <v>2</v>
      </c>
      <c r="H11" s="15">
        <v>1</v>
      </c>
      <c r="I11" s="15" t="s">
        <v>83</v>
      </c>
      <c r="J11" s="15"/>
      <c r="K11" s="15" t="s">
        <v>68</v>
      </c>
      <c r="L11" s="16" t="s">
        <v>115</v>
      </c>
      <c r="M11" s="16"/>
      <c r="N11" s="16"/>
      <c r="O11" s="16" t="s">
        <v>115</v>
      </c>
      <c r="P11" s="1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1"/>
      <c r="AF11" s="31"/>
      <c r="AG11" s="31"/>
      <c r="AH11" s="31"/>
      <c r="AI11" s="31">
        <f>$AR$11*$AF$74</f>
        <v>6000</v>
      </c>
      <c r="AJ11" s="31">
        <f>$AR$11*$AH$74</f>
        <v>3500</v>
      </c>
      <c r="AK11" s="31">
        <f>AJ11</f>
        <v>3500</v>
      </c>
      <c r="AL11" s="31">
        <f>AK11</f>
        <v>3500</v>
      </c>
      <c r="AM11" s="31">
        <f>AL11</f>
        <v>3500</v>
      </c>
      <c r="AN11" s="31"/>
      <c r="AO11" s="31"/>
      <c r="AP11" s="31"/>
      <c r="AQ11" s="31">
        <f t="shared" si="2"/>
        <v>20000</v>
      </c>
      <c r="AR11" s="7">
        <v>20000</v>
      </c>
      <c r="AS11" s="7"/>
      <c r="AT11" s="28">
        <v>2023</v>
      </c>
      <c r="AU11" s="15" t="s">
        <v>247</v>
      </c>
      <c r="AV11" s="22">
        <v>5</v>
      </c>
      <c r="AW11" s="22">
        <v>1</v>
      </c>
      <c r="AX11" s="22">
        <v>5</v>
      </c>
      <c r="AY11" s="22">
        <v>5</v>
      </c>
      <c r="AZ11" s="22">
        <v>1</v>
      </c>
      <c r="BA11" s="22">
        <v>5</v>
      </c>
      <c r="BB11" s="25">
        <f t="shared" si="3"/>
        <v>77</v>
      </c>
    </row>
    <row r="12" spans="1:54" x14ac:dyDescent="0.3">
      <c r="A12" s="4" t="s">
        <v>345</v>
      </c>
      <c r="B12" s="4" t="s">
        <v>43</v>
      </c>
      <c r="C12" s="3" t="s">
        <v>103</v>
      </c>
      <c r="D12" s="15" t="s">
        <v>15</v>
      </c>
      <c r="E12" s="15" t="s">
        <v>16</v>
      </c>
      <c r="F12" s="15" t="s">
        <v>138</v>
      </c>
      <c r="G12" s="15">
        <f t="shared" si="0"/>
        <v>2</v>
      </c>
      <c r="H12" s="15">
        <v>2</v>
      </c>
      <c r="I12" s="15" t="s">
        <v>113</v>
      </c>
      <c r="J12" s="15" t="s">
        <v>69</v>
      </c>
      <c r="K12" s="15" t="s">
        <v>68</v>
      </c>
      <c r="L12" s="16" t="s">
        <v>115</v>
      </c>
      <c r="M12" s="16"/>
      <c r="N12" s="16"/>
      <c r="O12" s="16"/>
      <c r="P12" s="1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1"/>
      <c r="AF12" s="31"/>
      <c r="AG12" s="31"/>
      <c r="AH12" s="31"/>
      <c r="AI12" s="31">
        <f>$AR$12*60%</f>
        <v>7800</v>
      </c>
      <c r="AJ12" s="31">
        <f>$AR$12*20%</f>
        <v>2600</v>
      </c>
      <c r="AK12" s="31">
        <f>AJ12</f>
        <v>2600</v>
      </c>
      <c r="AL12" s="31"/>
      <c r="AM12" s="31"/>
      <c r="AN12" s="31"/>
      <c r="AO12" s="31"/>
      <c r="AP12" s="31"/>
      <c r="AQ12" s="31">
        <f t="shared" si="2"/>
        <v>13000</v>
      </c>
      <c r="AR12" s="7">
        <v>13000</v>
      </c>
      <c r="AS12" s="7"/>
      <c r="AT12" s="28">
        <v>2023</v>
      </c>
      <c r="AU12" s="15" t="s">
        <v>247</v>
      </c>
      <c r="AV12" s="22">
        <v>3</v>
      </c>
      <c r="AW12" s="22">
        <v>5</v>
      </c>
      <c r="AX12" s="22">
        <v>3</v>
      </c>
      <c r="AY12" s="22">
        <v>3</v>
      </c>
      <c r="AZ12" s="22">
        <v>5</v>
      </c>
      <c r="BA12" s="22">
        <v>1</v>
      </c>
      <c r="BB12" s="25">
        <f t="shared" si="3"/>
        <v>75</v>
      </c>
    </row>
    <row r="13" spans="1:54" x14ac:dyDescent="0.3">
      <c r="A13" s="4" t="s">
        <v>346</v>
      </c>
      <c r="B13" s="4" t="s">
        <v>71</v>
      </c>
      <c r="C13" s="3" t="s">
        <v>72</v>
      </c>
      <c r="D13" s="15" t="s">
        <v>15</v>
      </c>
      <c r="E13" s="15"/>
      <c r="F13" s="15" t="s">
        <v>138</v>
      </c>
      <c r="G13" s="15">
        <f t="shared" si="0"/>
        <v>2</v>
      </c>
      <c r="H13" s="15">
        <v>2</v>
      </c>
      <c r="I13" s="15" t="s">
        <v>113</v>
      </c>
      <c r="J13" s="15" t="s">
        <v>69</v>
      </c>
      <c r="K13" s="15" t="s">
        <v>68</v>
      </c>
      <c r="L13" s="16" t="s">
        <v>115</v>
      </c>
      <c r="M13" s="16" t="s">
        <v>115</v>
      </c>
      <c r="N13" s="16"/>
      <c r="O13" s="16"/>
      <c r="P13" s="1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1"/>
      <c r="AF13" s="31"/>
      <c r="AG13" s="31"/>
      <c r="AH13" s="31"/>
      <c r="AI13" s="31">
        <f>$AR$13*60%</f>
        <v>6000</v>
      </c>
      <c r="AJ13" s="31">
        <f>$AR$13*20%</f>
        <v>2000</v>
      </c>
      <c r="AK13" s="31">
        <f>AJ13</f>
        <v>2000</v>
      </c>
      <c r="AL13" s="31"/>
      <c r="AM13" s="31"/>
      <c r="AN13" s="31"/>
      <c r="AO13" s="31"/>
      <c r="AP13" s="31"/>
      <c r="AQ13" s="31">
        <f t="shared" si="2"/>
        <v>10000</v>
      </c>
      <c r="AR13" s="7">
        <v>10000</v>
      </c>
      <c r="AS13" s="7"/>
      <c r="AT13" s="28">
        <v>2023</v>
      </c>
      <c r="AU13" s="15" t="s">
        <v>247</v>
      </c>
      <c r="AV13" s="22">
        <v>5</v>
      </c>
      <c r="AW13" s="22">
        <v>3</v>
      </c>
      <c r="AX13" s="22">
        <v>1</v>
      </c>
      <c r="AY13" s="22">
        <v>5</v>
      </c>
      <c r="AZ13" s="22">
        <v>1</v>
      </c>
      <c r="BA13" s="22">
        <v>1</v>
      </c>
      <c r="BB13" s="25">
        <f t="shared" si="3"/>
        <v>67</v>
      </c>
    </row>
    <row r="14" spans="1:54" x14ac:dyDescent="0.3">
      <c r="A14" s="4" t="s">
        <v>347</v>
      </c>
      <c r="B14" s="4" t="s">
        <v>136</v>
      </c>
      <c r="C14" s="3"/>
      <c r="D14" s="15" t="s">
        <v>16</v>
      </c>
      <c r="E14" s="15"/>
      <c r="F14" s="15" t="s">
        <v>138</v>
      </c>
      <c r="G14" s="15">
        <f t="shared" si="0"/>
        <v>2</v>
      </c>
      <c r="H14" s="15">
        <v>2</v>
      </c>
      <c r="I14" s="15" t="s">
        <v>111</v>
      </c>
      <c r="J14" s="15" t="s">
        <v>69</v>
      </c>
      <c r="K14" s="15" t="s">
        <v>68</v>
      </c>
      <c r="L14" s="16" t="s">
        <v>115</v>
      </c>
      <c r="M14" s="16"/>
      <c r="N14" s="16"/>
      <c r="O14" s="16"/>
      <c r="P14" s="16" t="s">
        <v>115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1"/>
      <c r="AF14" s="31"/>
      <c r="AG14" s="31"/>
      <c r="AH14" s="31"/>
      <c r="AI14" s="31"/>
      <c r="AJ14" s="31">
        <f>$AR$14*50%</f>
        <v>5000</v>
      </c>
      <c r="AK14" s="31">
        <f>$AR$14*25%</f>
        <v>2500</v>
      </c>
      <c r="AL14" s="31">
        <f>AK14</f>
        <v>2500</v>
      </c>
      <c r="AM14" s="31"/>
      <c r="AN14" s="31"/>
      <c r="AO14" s="31"/>
      <c r="AP14" s="31"/>
      <c r="AQ14" s="31">
        <f t="shared" si="2"/>
        <v>10000</v>
      </c>
      <c r="AR14" s="7">
        <v>10000</v>
      </c>
      <c r="AS14" s="7"/>
      <c r="AT14" s="28">
        <v>2023</v>
      </c>
      <c r="AU14" s="15" t="s">
        <v>247</v>
      </c>
      <c r="AV14" s="22">
        <v>5</v>
      </c>
      <c r="AW14" s="22">
        <v>3</v>
      </c>
      <c r="AX14" s="22">
        <v>5</v>
      </c>
      <c r="AY14" s="22">
        <v>3</v>
      </c>
      <c r="AZ14" s="22">
        <v>1</v>
      </c>
      <c r="BA14" s="22">
        <v>1</v>
      </c>
      <c r="BB14" s="25">
        <f t="shared" si="3"/>
        <v>77</v>
      </c>
    </row>
    <row r="15" spans="1:54" x14ac:dyDescent="0.3">
      <c r="A15" s="4" t="s">
        <v>348</v>
      </c>
      <c r="B15" s="4" t="s">
        <v>89</v>
      </c>
      <c r="C15" s="3"/>
      <c r="D15" s="15" t="s">
        <v>16</v>
      </c>
      <c r="E15" s="15"/>
      <c r="F15" s="15" t="s">
        <v>138</v>
      </c>
      <c r="G15" s="15">
        <f t="shared" si="0"/>
        <v>2</v>
      </c>
      <c r="H15" s="15">
        <v>2</v>
      </c>
      <c r="I15" s="15" t="s">
        <v>111</v>
      </c>
      <c r="J15" s="15"/>
      <c r="K15" s="15" t="s">
        <v>68</v>
      </c>
      <c r="L15" s="16" t="s">
        <v>115</v>
      </c>
      <c r="M15" s="16"/>
      <c r="N15" s="16"/>
      <c r="O15" s="16"/>
      <c r="P15" s="1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1"/>
      <c r="AF15" s="31"/>
      <c r="AG15" s="31"/>
      <c r="AH15" s="31"/>
      <c r="AI15" s="31"/>
      <c r="AJ15" s="31"/>
      <c r="AK15" s="31">
        <f>AR15*50%</f>
        <v>6000</v>
      </c>
      <c r="AL15" s="31">
        <f>AR15*25%</f>
        <v>3000</v>
      </c>
      <c r="AM15" s="31">
        <f>AL15</f>
        <v>3000</v>
      </c>
      <c r="AN15" s="31"/>
      <c r="AO15" s="31"/>
      <c r="AP15" s="31"/>
      <c r="AQ15" s="31">
        <f t="shared" si="2"/>
        <v>12000</v>
      </c>
      <c r="AR15" s="7">
        <v>12000</v>
      </c>
      <c r="AS15" s="7"/>
      <c r="AT15" s="28">
        <v>2023</v>
      </c>
      <c r="AU15" s="15" t="s">
        <v>248</v>
      </c>
      <c r="AV15" s="22">
        <v>5</v>
      </c>
      <c r="AW15" s="22">
        <v>5</v>
      </c>
      <c r="AX15" s="22">
        <v>5</v>
      </c>
      <c r="AY15" s="22">
        <v>5</v>
      </c>
      <c r="AZ15" s="22">
        <v>3</v>
      </c>
      <c r="BA15" s="22">
        <v>1</v>
      </c>
      <c r="BB15" s="25">
        <f t="shared" si="3"/>
        <v>97</v>
      </c>
    </row>
    <row r="16" spans="1:54" x14ac:dyDescent="0.3">
      <c r="A16" s="4" t="s">
        <v>349</v>
      </c>
      <c r="B16" s="4" t="s">
        <v>234</v>
      </c>
      <c r="C16" s="3"/>
      <c r="D16" s="15" t="s">
        <v>97</v>
      </c>
      <c r="E16" s="15"/>
      <c r="F16" s="15" t="s">
        <v>138</v>
      </c>
      <c r="G16" s="15">
        <f t="shared" si="0"/>
        <v>2</v>
      </c>
      <c r="H16" s="15">
        <v>2</v>
      </c>
      <c r="I16" s="15"/>
      <c r="J16" s="15" t="s">
        <v>69</v>
      </c>
      <c r="K16" s="15"/>
      <c r="L16" s="16" t="s">
        <v>115</v>
      </c>
      <c r="M16" s="16" t="s">
        <v>115</v>
      </c>
      <c r="N16" s="16" t="s">
        <v>115</v>
      </c>
      <c r="O16" s="16" t="s">
        <v>115</v>
      </c>
      <c r="P16" s="1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1"/>
      <c r="AF16" s="31"/>
      <c r="AG16" s="31"/>
      <c r="AH16" s="31"/>
      <c r="AI16" s="31"/>
      <c r="AJ16" s="31"/>
      <c r="AK16" s="31">
        <v>5000</v>
      </c>
      <c r="AL16" s="31"/>
      <c r="AM16" s="31"/>
      <c r="AN16" s="31"/>
      <c r="AO16" s="31"/>
      <c r="AP16" s="31"/>
      <c r="AQ16" s="31">
        <f t="shared" si="2"/>
        <v>5000</v>
      </c>
      <c r="AR16" s="7">
        <v>5000</v>
      </c>
      <c r="AS16" s="7"/>
      <c r="AT16" s="28">
        <v>2023</v>
      </c>
      <c r="AU16" s="15" t="s">
        <v>248</v>
      </c>
      <c r="AV16" s="22">
        <v>5</v>
      </c>
      <c r="AW16" s="22">
        <v>1</v>
      </c>
      <c r="AX16" s="22">
        <v>5</v>
      </c>
      <c r="AY16" s="22">
        <v>5</v>
      </c>
      <c r="AZ16" s="22">
        <v>1</v>
      </c>
      <c r="BA16" s="22">
        <v>1</v>
      </c>
      <c r="BB16" s="25">
        <f t="shared" si="3"/>
        <v>73</v>
      </c>
    </row>
    <row r="17" spans="1:54" x14ac:dyDescent="0.3">
      <c r="A17" s="4" t="s">
        <v>350</v>
      </c>
      <c r="B17" s="4" t="s">
        <v>228</v>
      </c>
      <c r="C17" s="3" t="s">
        <v>225</v>
      </c>
      <c r="D17" s="15" t="s">
        <v>97</v>
      </c>
      <c r="E17" s="15"/>
      <c r="F17" s="15" t="s">
        <v>138</v>
      </c>
      <c r="G17" s="15">
        <f t="shared" si="0"/>
        <v>2</v>
      </c>
      <c r="H17" s="15">
        <v>2</v>
      </c>
      <c r="I17" s="15"/>
      <c r="J17" s="15" t="s">
        <v>69</v>
      </c>
      <c r="K17" s="15"/>
      <c r="L17" s="16" t="s">
        <v>115</v>
      </c>
      <c r="M17" s="16" t="s">
        <v>115</v>
      </c>
      <c r="N17" s="16" t="s">
        <v>115</v>
      </c>
      <c r="O17" s="16" t="s">
        <v>115</v>
      </c>
      <c r="P17" s="1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1"/>
      <c r="AF17" s="31"/>
      <c r="AG17" s="31"/>
      <c r="AH17" s="31"/>
      <c r="AI17" s="31"/>
      <c r="AJ17" s="31"/>
      <c r="AK17" s="31">
        <v>5000</v>
      </c>
      <c r="AL17" s="31"/>
      <c r="AM17" s="31"/>
      <c r="AN17" s="31"/>
      <c r="AO17" s="31"/>
      <c r="AP17" s="31"/>
      <c r="AQ17" s="31">
        <f t="shared" si="2"/>
        <v>5000</v>
      </c>
      <c r="AR17" s="7">
        <v>5000</v>
      </c>
      <c r="AS17" s="7"/>
      <c r="AT17" s="28">
        <v>2023</v>
      </c>
      <c r="AU17" s="15" t="s">
        <v>248</v>
      </c>
      <c r="AV17" s="22">
        <v>1</v>
      </c>
      <c r="AW17" s="22">
        <v>1</v>
      </c>
      <c r="AX17" s="22">
        <v>5</v>
      </c>
      <c r="AY17" s="22">
        <v>1</v>
      </c>
      <c r="AZ17" s="22">
        <v>1</v>
      </c>
      <c r="BA17" s="22">
        <v>3</v>
      </c>
      <c r="BB17" s="25">
        <f t="shared" si="3"/>
        <v>39</v>
      </c>
    </row>
    <row r="18" spans="1:54" ht="28.8" x14ac:dyDescent="0.3">
      <c r="A18" s="4" t="s">
        <v>351</v>
      </c>
      <c r="B18" s="4" t="s">
        <v>229</v>
      </c>
      <c r="C18" s="3"/>
      <c r="D18" s="15" t="s">
        <v>16</v>
      </c>
      <c r="E18" s="15" t="s">
        <v>108</v>
      </c>
      <c r="F18" s="15" t="s">
        <v>139</v>
      </c>
      <c r="G18" s="15">
        <f t="shared" si="0"/>
        <v>4</v>
      </c>
      <c r="H18" s="15">
        <v>4</v>
      </c>
      <c r="I18" s="15" t="s">
        <v>111</v>
      </c>
      <c r="J18" s="15"/>
      <c r="K18" s="15" t="s">
        <v>68</v>
      </c>
      <c r="L18" s="16" t="s">
        <v>115</v>
      </c>
      <c r="M18" s="16" t="s">
        <v>115</v>
      </c>
      <c r="N18" s="16"/>
      <c r="O18" s="16"/>
      <c r="P18" s="16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1"/>
      <c r="AF18" s="31"/>
      <c r="AG18" s="31"/>
      <c r="AH18" s="31"/>
      <c r="AI18" s="31"/>
      <c r="AJ18" s="31"/>
      <c r="AK18" s="31"/>
      <c r="AL18" s="31">
        <f>AR18*60%</f>
        <v>7200</v>
      </c>
      <c r="AM18" s="31">
        <f>AR18*20%</f>
        <v>2400</v>
      </c>
      <c r="AN18" s="31">
        <f>AM18</f>
        <v>2400</v>
      </c>
      <c r="AO18" s="31"/>
      <c r="AP18" s="31"/>
      <c r="AQ18" s="31">
        <f t="shared" si="2"/>
        <v>12000</v>
      </c>
      <c r="AR18" s="7">
        <v>12000</v>
      </c>
      <c r="AS18" s="7"/>
      <c r="AT18" s="28">
        <v>2023</v>
      </c>
      <c r="AU18" s="15" t="s">
        <v>248</v>
      </c>
      <c r="AV18" s="22">
        <v>5</v>
      </c>
      <c r="AW18" s="22">
        <v>5</v>
      </c>
      <c r="AX18" s="22">
        <v>5</v>
      </c>
      <c r="AY18" s="22">
        <v>5</v>
      </c>
      <c r="AZ18" s="22">
        <v>3</v>
      </c>
      <c r="BA18" s="22">
        <v>3</v>
      </c>
      <c r="BB18" s="25">
        <f t="shared" si="3"/>
        <v>99</v>
      </c>
    </row>
    <row r="19" spans="1:54" ht="28.8" x14ac:dyDescent="0.3">
      <c r="A19" s="4" t="s">
        <v>352</v>
      </c>
      <c r="B19" s="4" t="s">
        <v>91</v>
      </c>
      <c r="C19" s="3"/>
      <c r="D19" s="15" t="s">
        <v>15</v>
      </c>
      <c r="E19" s="15"/>
      <c r="F19" s="15" t="s">
        <v>138</v>
      </c>
      <c r="G19" s="15">
        <f t="shared" si="0"/>
        <v>2</v>
      </c>
      <c r="H19" s="15">
        <v>2</v>
      </c>
      <c r="I19" s="15" t="s">
        <v>113</v>
      </c>
      <c r="J19" s="15" t="s">
        <v>69</v>
      </c>
      <c r="K19" s="15" t="s">
        <v>68</v>
      </c>
      <c r="L19" s="16" t="s">
        <v>115</v>
      </c>
      <c r="M19" s="16" t="s">
        <v>115</v>
      </c>
      <c r="N19" s="16"/>
      <c r="O19" s="16"/>
      <c r="P19" s="1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1"/>
      <c r="AF19" s="31"/>
      <c r="AG19" s="31"/>
      <c r="AH19" s="31"/>
      <c r="AI19" s="31"/>
      <c r="AJ19" s="31"/>
      <c r="AK19" s="31"/>
      <c r="AL19" s="31">
        <f>AR19*70%</f>
        <v>9100</v>
      </c>
      <c r="AM19" s="31">
        <f>AR19*30%</f>
        <v>3900</v>
      </c>
      <c r="AN19" s="31"/>
      <c r="AO19" s="31"/>
      <c r="AP19" s="31"/>
      <c r="AQ19" s="31">
        <f t="shared" si="2"/>
        <v>13000</v>
      </c>
      <c r="AR19" s="7">
        <v>13000</v>
      </c>
      <c r="AS19" s="7"/>
      <c r="AT19" s="28">
        <v>2023</v>
      </c>
      <c r="AU19" s="15" t="s">
        <v>248</v>
      </c>
      <c r="AV19" s="22">
        <v>5</v>
      </c>
      <c r="AW19" s="22">
        <v>3</v>
      </c>
      <c r="AX19" s="22">
        <v>3</v>
      </c>
      <c r="AY19" s="22">
        <v>5</v>
      </c>
      <c r="AZ19" s="22">
        <v>1</v>
      </c>
      <c r="BA19" s="22">
        <v>1</v>
      </c>
      <c r="BB19" s="25">
        <f t="shared" si="3"/>
        <v>75</v>
      </c>
    </row>
    <row r="20" spans="1:54" x14ac:dyDescent="0.3">
      <c r="A20" s="4" t="s">
        <v>353</v>
      </c>
      <c r="B20" s="4" t="s">
        <v>313</v>
      </c>
      <c r="C20" s="3"/>
      <c r="D20" s="15" t="s">
        <v>174</v>
      </c>
      <c r="E20" s="15"/>
      <c r="F20" s="15" t="s">
        <v>138</v>
      </c>
      <c r="G20" s="15">
        <f t="shared" si="0"/>
        <v>2</v>
      </c>
      <c r="H20" s="15">
        <v>0</v>
      </c>
      <c r="I20" s="15" t="s">
        <v>192</v>
      </c>
      <c r="J20" s="15"/>
      <c r="K20" s="15" t="s">
        <v>68</v>
      </c>
      <c r="L20" s="16"/>
      <c r="M20" s="16"/>
      <c r="N20" s="16" t="s">
        <v>115</v>
      </c>
      <c r="O20" s="16"/>
      <c r="P20" s="1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1"/>
      <c r="AF20" s="31"/>
      <c r="AG20" s="31"/>
      <c r="AH20" s="31"/>
      <c r="AI20" s="31"/>
      <c r="AJ20" s="31"/>
      <c r="AK20" s="31"/>
      <c r="AL20" s="31">
        <v>5000</v>
      </c>
      <c r="AM20" s="31"/>
      <c r="AN20" s="31"/>
      <c r="AO20" s="31"/>
      <c r="AP20" s="31"/>
      <c r="AQ20" s="31">
        <f t="shared" si="2"/>
        <v>5000</v>
      </c>
      <c r="AR20" s="7">
        <v>5000</v>
      </c>
      <c r="AS20" s="7"/>
      <c r="AT20" s="28">
        <v>2023</v>
      </c>
      <c r="AU20" s="15" t="s">
        <v>248</v>
      </c>
      <c r="AV20" s="22">
        <v>5</v>
      </c>
      <c r="AW20" s="22">
        <v>1</v>
      </c>
      <c r="AX20" s="22">
        <v>3</v>
      </c>
      <c r="AY20" s="22">
        <v>5</v>
      </c>
      <c r="AZ20" s="22">
        <v>1</v>
      </c>
      <c r="BA20" s="22">
        <v>1</v>
      </c>
      <c r="BB20" s="25">
        <f t="shared" si="3"/>
        <v>65</v>
      </c>
    </row>
    <row r="21" spans="1:54" x14ac:dyDescent="0.3">
      <c r="A21" s="4" t="s">
        <v>354</v>
      </c>
      <c r="B21" s="4" t="s">
        <v>308</v>
      </c>
      <c r="C21" s="3"/>
      <c r="D21" s="15" t="s">
        <v>19</v>
      </c>
      <c r="E21" s="15"/>
      <c r="F21" s="15" t="s">
        <v>140</v>
      </c>
      <c r="G21" s="15">
        <f t="shared" si="0"/>
        <v>1</v>
      </c>
      <c r="H21" s="15">
        <v>1</v>
      </c>
      <c r="I21" s="15" t="s">
        <v>83</v>
      </c>
      <c r="J21" s="15" t="s">
        <v>69</v>
      </c>
      <c r="K21" s="15"/>
      <c r="L21" s="16" t="s">
        <v>115</v>
      </c>
      <c r="M21" s="16"/>
      <c r="N21" s="16"/>
      <c r="O21" s="16"/>
      <c r="P21" s="1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7">
        <v>5000</v>
      </c>
      <c r="AS21" s="7"/>
      <c r="AT21" s="28">
        <v>2023</v>
      </c>
      <c r="AU21" s="15" t="s">
        <v>246</v>
      </c>
      <c r="AV21" s="22">
        <v>5</v>
      </c>
      <c r="AW21" s="22">
        <v>5</v>
      </c>
      <c r="AX21" s="22">
        <v>3</v>
      </c>
      <c r="AY21" s="22">
        <v>3</v>
      </c>
      <c r="AZ21" s="22">
        <v>3</v>
      </c>
      <c r="BA21" s="22">
        <v>1</v>
      </c>
      <c r="BB21" s="25">
        <f t="shared" si="3"/>
        <v>83</v>
      </c>
    </row>
    <row r="22" spans="1:54" hidden="1" x14ac:dyDescent="0.3">
      <c r="A22" s="4"/>
      <c r="B22" s="4" t="s">
        <v>230</v>
      </c>
      <c r="C22" s="4" t="s">
        <v>78</v>
      </c>
      <c r="D22" s="15" t="s">
        <v>19</v>
      </c>
      <c r="E22" s="15"/>
      <c r="F22" s="15" t="s">
        <v>140</v>
      </c>
      <c r="G22" s="15">
        <f t="shared" si="0"/>
        <v>1</v>
      </c>
      <c r="H22" s="15">
        <v>1</v>
      </c>
      <c r="I22" s="15" t="s">
        <v>83</v>
      </c>
      <c r="J22" s="15" t="s">
        <v>69</v>
      </c>
      <c r="K22" s="15" t="s">
        <v>68</v>
      </c>
      <c r="L22" s="16" t="s">
        <v>115</v>
      </c>
      <c r="M22" s="16"/>
      <c r="N22" s="16"/>
      <c r="O22" s="16"/>
      <c r="P22" s="1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1"/>
      <c r="AF22" s="31"/>
      <c r="AG22" s="31"/>
      <c r="AH22" s="31"/>
      <c r="AI22" s="31"/>
      <c r="AJ22" s="31"/>
      <c r="AK22" s="31"/>
      <c r="AL22" s="31"/>
      <c r="AM22" s="31"/>
      <c r="AN22" s="31">
        <v>5000</v>
      </c>
      <c r="AO22" s="31"/>
      <c r="AP22" s="31"/>
      <c r="AQ22" s="31">
        <f t="shared" si="2"/>
        <v>5000</v>
      </c>
      <c r="AR22" s="7">
        <v>5000</v>
      </c>
      <c r="AS22" s="7"/>
      <c r="AT22" s="28" t="s">
        <v>179</v>
      </c>
      <c r="AU22" s="15"/>
      <c r="AV22" s="22">
        <v>5</v>
      </c>
      <c r="AW22" s="22">
        <v>3</v>
      </c>
      <c r="AX22" s="22">
        <v>5</v>
      </c>
      <c r="AY22" s="22">
        <v>1</v>
      </c>
      <c r="AZ22" s="22">
        <v>1</v>
      </c>
      <c r="BA22" s="22">
        <v>1</v>
      </c>
      <c r="BB22" s="25">
        <f t="shared" si="3"/>
        <v>71</v>
      </c>
    </row>
    <row r="23" spans="1:54" x14ac:dyDescent="0.3">
      <c r="A23" s="4" t="s">
        <v>355</v>
      </c>
      <c r="B23" s="4" t="s">
        <v>92</v>
      </c>
      <c r="C23" s="4"/>
      <c r="D23" s="15" t="s">
        <v>15</v>
      </c>
      <c r="E23" s="15" t="s">
        <v>109</v>
      </c>
      <c r="F23" s="15" t="s">
        <v>140</v>
      </c>
      <c r="G23" s="15">
        <f t="shared" si="0"/>
        <v>1</v>
      </c>
      <c r="H23" s="15">
        <v>1</v>
      </c>
      <c r="I23" s="15" t="s">
        <v>113</v>
      </c>
      <c r="J23" s="15" t="s">
        <v>69</v>
      </c>
      <c r="K23" s="15" t="s">
        <v>68</v>
      </c>
      <c r="L23" s="16" t="s">
        <v>115</v>
      </c>
      <c r="M23" s="16"/>
      <c r="N23" s="16"/>
      <c r="O23" s="16"/>
      <c r="P23" s="1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1"/>
      <c r="AF23" s="31"/>
      <c r="AG23" s="31"/>
      <c r="AH23" s="31"/>
      <c r="AI23" s="31"/>
      <c r="AJ23" s="31"/>
      <c r="AK23" s="31"/>
      <c r="AL23" s="31"/>
      <c r="AM23" s="31"/>
      <c r="AN23" s="31">
        <v>5000</v>
      </c>
      <c r="AO23" s="31">
        <v>5000</v>
      </c>
      <c r="AP23" s="31"/>
      <c r="AQ23" s="31">
        <f t="shared" si="2"/>
        <v>10000</v>
      </c>
      <c r="AR23" s="7">
        <v>10000</v>
      </c>
      <c r="AS23" s="7"/>
      <c r="AT23" s="28">
        <v>2023</v>
      </c>
      <c r="AU23" s="15" t="s">
        <v>249</v>
      </c>
      <c r="AV23" s="22">
        <v>3</v>
      </c>
      <c r="AW23" s="22">
        <v>1</v>
      </c>
      <c r="AX23" s="22">
        <v>5</v>
      </c>
      <c r="AY23" s="22">
        <v>3</v>
      </c>
      <c r="AZ23" s="22">
        <v>3</v>
      </c>
      <c r="BA23" s="22">
        <v>1</v>
      </c>
      <c r="BB23" s="25">
        <f t="shared" si="3"/>
        <v>59</v>
      </c>
    </row>
    <row r="24" spans="1:54" x14ac:dyDescent="0.3">
      <c r="A24" s="4" t="s">
        <v>356</v>
      </c>
      <c r="B24" s="4" t="s">
        <v>193</v>
      </c>
      <c r="C24" s="4"/>
      <c r="D24" s="15" t="s">
        <v>15</v>
      </c>
      <c r="E24" s="15" t="s">
        <v>21</v>
      </c>
      <c r="F24" s="15" t="s">
        <v>140</v>
      </c>
      <c r="G24" s="15">
        <f t="shared" si="0"/>
        <v>1</v>
      </c>
      <c r="H24" s="15">
        <v>1</v>
      </c>
      <c r="I24" s="15" t="s">
        <v>113</v>
      </c>
      <c r="J24" s="15" t="s">
        <v>69</v>
      </c>
      <c r="K24" s="15"/>
      <c r="L24" s="16"/>
      <c r="M24" s="16" t="s">
        <v>115</v>
      </c>
      <c r="N24" s="16"/>
      <c r="O24" s="16"/>
      <c r="P24" s="1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>
        <v>7000</v>
      </c>
      <c r="AS24" s="7"/>
      <c r="AT24" s="28">
        <v>2023</v>
      </c>
      <c r="AU24" s="15" t="s">
        <v>246</v>
      </c>
      <c r="AV24" s="22">
        <v>5</v>
      </c>
      <c r="AW24" s="22">
        <v>5</v>
      </c>
      <c r="AX24" s="22">
        <v>5</v>
      </c>
      <c r="AY24" s="22">
        <v>3</v>
      </c>
      <c r="AZ24" s="22">
        <v>5</v>
      </c>
      <c r="BA24" s="22">
        <v>1</v>
      </c>
      <c r="BB24" s="22">
        <f t="shared" si="3"/>
        <v>95</v>
      </c>
    </row>
    <row r="25" spans="1:54" ht="43.2" hidden="1" x14ac:dyDescent="0.3">
      <c r="A25" s="4"/>
      <c r="B25" s="4" t="s">
        <v>79</v>
      </c>
      <c r="C25" s="4" t="s">
        <v>84</v>
      </c>
      <c r="D25" s="15" t="s">
        <v>19</v>
      </c>
      <c r="E25" s="15"/>
      <c r="F25" s="15" t="s">
        <v>139</v>
      </c>
      <c r="G25" s="15">
        <f>IF(F25="S",1,IF(F25="M",2,IF(F25="L",4,0)))</f>
        <v>4</v>
      </c>
      <c r="H25" s="15">
        <v>1</v>
      </c>
      <c r="I25" s="15" t="s">
        <v>83</v>
      </c>
      <c r="J25" s="15" t="s">
        <v>69</v>
      </c>
      <c r="K25" s="15" t="s">
        <v>68</v>
      </c>
      <c r="L25" s="16" t="s">
        <v>115</v>
      </c>
      <c r="M25" s="16"/>
      <c r="N25" s="16"/>
      <c r="O25" s="16"/>
      <c r="P25" s="16" t="s">
        <v>115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>
        <v>80000</v>
      </c>
      <c r="AS25" s="7"/>
      <c r="AT25" s="28" t="s">
        <v>179</v>
      </c>
      <c r="AU25" s="15"/>
      <c r="AV25" s="22">
        <v>5</v>
      </c>
      <c r="AW25" s="22">
        <v>5</v>
      </c>
      <c r="AX25" s="22">
        <v>3</v>
      </c>
      <c r="AY25" s="22">
        <v>5</v>
      </c>
      <c r="AZ25" s="22">
        <v>1</v>
      </c>
      <c r="BA25" s="22">
        <v>3</v>
      </c>
      <c r="BB25" s="22">
        <f>AV25*$AV$1+AZ25*$AZ$1+AX25*$AX$1+AY25*$AY$1+AW25*$AW$1+BA25*$BA$1</f>
        <v>87</v>
      </c>
    </row>
    <row r="26" spans="1:54" ht="28.8" hidden="1" x14ac:dyDescent="0.3">
      <c r="A26" s="4"/>
      <c r="B26" s="4" t="s">
        <v>223</v>
      </c>
      <c r="C26" s="4"/>
      <c r="D26" s="15" t="s">
        <v>13</v>
      </c>
      <c r="E26" s="15"/>
      <c r="F26" s="15" t="s">
        <v>138</v>
      </c>
      <c r="G26" s="15">
        <f t="shared" si="0"/>
        <v>2</v>
      </c>
      <c r="H26" s="15">
        <v>0</v>
      </c>
      <c r="I26" s="15" t="s">
        <v>191</v>
      </c>
      <c r="J26" s="15"/>
      <c r="K26" s="15" t="s">
        <v>68</v>
      </c>
      <c r="L26" s="16" t="s">
        <v>115</v>
      </c>
      <c r="M26" s="16"/>
      <c r="N26" s="16" t="s">
        <v>115</v>
      </c>
      <c r="O26" s="16"/>
      <c r="P26" s="16" t="s">
        <v>115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>
        <v>5000</v>
      </c>
      <c r="AS26" s="7"/>
      <c r="AT26" s="28" t="s">
        <v>224</v>
      </c>
      <c r="AU26" s="15"/>
      <c r="AV26" s="22">
        <v>5</v>
      </c>
      <c r="AW26" s="22">
        <v>5</v>
      </c>
      <c r="AX26" s="22">
        <v>3</v>
      </c>
      <c r="AY26" s="22">
        <v>5</v>
      </c>
      <c r="AZ26" s="22">
        <v>1</v>
      </c>
      <c r="BA26" s="22">
        <v>1</v>
      </c>
      <c r="BB26" s="22">
        <f t="shared" si="3"/>
        <v>85</v>
      </c>
    </row>
    <row r="27" spans="1:54" ht="28.8" hidden="1" x14ac:dyDescent="0.3">
      <c r="A27" s="4"/>
      <c r="B27" s="4" t="s">
        <v>151</v>
      </c>
      <c r="C27" s="4"/>
      <c r="D27" s="15" t="s">
        <v>15</v>
      </c>
      <c r="E27" s="15"/>
      <c r="F27" s="15" t="s">
        <v>139</v>
      </c>
      <c r="G27" s="15">
        <f t="shared" si="0"/>
        <v>4</v>
      </c>
      <c r="H27" s="15">
        <v>4</v>
      </c>
      <c r="I27" s="15" t="s">
        <v>113</v>
      </c>
      <c r="J27" s="15" t="s">
        <v>69</v>
      </c>
      <c r="K27" s="15" t="s">
        <v>68</v>
      </c>
      <c r="L27" s="16" t="s">
        <v>115</v>
      </c>
      <c r="M27" s="16" t="s">
        <v>115</v>
      </c>
      <c r="N27" s="16"/>
      <c r="O27" s="16" t="s">
        <v>115</v>
      </c>
      <c r="P27" s="1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>
        <v>16000</v>
      </c>
      <c r="AS27" s="7"/>
      <c r="AT27" s="28" t="s">
        <v>224</v>
      </c>
      <c r="AU27" s="15"/>
      <c r="AV27" s="22">
        <v>5</v>
      </c>
      <c r="AW27" s="22">
        <v>5</v>
      </c>
      <c r="AX27" s="22">
        <v>3</v>
      </c>
      <c r="AY27" s="22">
        <v>5</v>
      </c>
      <c r="AZ27" s="22">
        <v>1</v>
      </c>
      <c r="BA27" s="22">
        <v>1</v>
      </c>
      <c r="BB27" s="22">
        <f t="shared" si="3"/>
        <v>85</v>
      </c>
    </row>
    <row r="28" spans="1:54" hidden="1" x14ac:dyDescent="0.3">
      <c r="A28" s="4"/>
      <c r="B28" s="4" t="s">
        <v>172</v>
      </c>
      <c r="C28" s="4"/>
      <c r="D28" s="15" t="s">
        <v>97</v>
      </c>
      <c r="E28" s="15"/>
      <c r="F28" s="15" t="s">
        <v>140</v>
      </c>
      <c r="G28" s="15">
        <f>IF(F28="S",1,IF(F28="M",2,IF(F28="L",4,0)))</f>
        <v>1</v>
      </c>
      <c r="H28" s="15">
        <v>0</v>
      </c>
      <c r="I28" s="15"/>
      <c r="J28" s="15"/>
      <c r="K28" s="15" t="s">
        <v>68</v>
      </c>
      <c r="L28" s="16"/>
      <c r="M28" s="16"/>
      <c r="N28" s="16" t="s">
        <v>115</v>
      </c>
      <c r="O28" s="16"/>
      <c r="P28" s="16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27">
        <v>0</v>
      </c>
      <c r="AS28" s="7"/>
      <c r="AT28" s="28" t="s">
        <v>179</v>
      </c>
      <c r="AU28" s="15"/>
      <c r="AV28" s="22">
        <v>5</v>
      </c>
      <c r="AW28" s="22">
        <v>3</v>
      </c>
      <c r="AX28" s="22">
        <v>5</v>
      </c>
      <c r="AY28" s="22">
        <v>5</v>
      </c>
      <c r="AZ28" s="22">
        <v>1</v>
      </c>
      <c r="BA28" s="22">
        <v>1</v>
      </c>
      <c r="BB28" s="22">
        <f>AV28*$AV$1+AZ28*$AZ$1+AX28*$AX$1+AY28*$AY$1+AW28*$AW$1+BA28*$BA$1</f>
        <v>83</v>
      </c>
    </row>
    <row r="29" spans="1:54" hidden="1" x14ac:dyDescent="0.3">
      <c r="A29" s="4"/>
      <c r="B29" s="4" t="s">
        <v>98</v>
      </c>
      <c r="C29" s="4"/>
      <c r="D29" s="15" t="s">
        <v>14</v>
      </c>
      <c r="E29" s="15"/>
      <c r="F29" s="15" t="s">
        <v>139</v>
      </c>
      <c r="G29" s="15">
        <f>IF(F29="S",1,IF(F29="M",2,IF(F29="L",4,0)))</f>
        <v>4</v>
      </c>
      <c r="H29" s="15">
        <v>4</v>
      </c>
      <c r="I29" s="15" t="s">
        <v>112</v>
      </c>
      <c r="J29" s="15" t="s">
        <v>69</v>
      </c>
      <c r="K29" s="15" t="s">
        <v>68</v>
      </c>
      <c r="L29" s="16"/>
      <c r="M29" s="16"/>
      <c r="N29" s="16"/>
      <c r="O29" s="16"/>
      <c r="P29" s="16" t="s">
        <v>115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>
        <v>20000</v>
      </c>
      <c r="AS29" s="7"/>
      <c r="AT29" s="28" t="s">
        <v>179</v>
      </c>
      <c r="AU29" s="15"/>
      <c r="AV29" s="22">
        <v>5</v>
      </c>
      <c r="AW29" s="22">
        <v>3</v>
      </c>
      <c r="AX29" s="22">
        <v>3</v>
      </c>
      <c r="AY29" s="22">
        <v>5</v>
      </c>
      <c r="AZ29" s="22">
        <v>1</v>
      </c>
      <c r="BA29" s="22">
        <v>5</v>
      </c>
      <c r="BB29" s="22">
        <f>AV29*$AV$1+AZ29*$AZ$1+AX29*$AX$1+AY29*$AY$1+AW29*$AW$1+BA29*$BA$1</f>
        <v>79</v>
      </c>
    </row>
    <row r="30" spans="1:54" ht="43.2" hidden="1" x14ac:dyDescent="0.3">
      <c r="A30" s="4"/>
      <c r="B30" s="4" t="s">
        <v>215</v>
      </c>
      <c r="C30" s="4" t="s">
        <v>217</v>
      </c>
      <c r="D30" s="15" t="s">
        <v>19</v>
      </c>
      <c r="E30" s="15" t="s">
        <v>216</v>
      </c>
      <c r="F30" s="15" t="s">
        <v>139</v>
      </c>
      <c r="G30" s="15">
        <f t="shared" si="0"/>
        <v>4</v>
      </c>
      <c r="H30" s="15">
        <v>4</v>
      </c>
      <c r="I30" s="15" t="s">
        <v>83</v>
      </c>
      <c r="J30" s="15" t="s">
        <v>69</v>
      </c>
      <c r="K30" s="15" t="s">
        <v>68</v>
      </c>
      <c r="L30" s="16" t="s">
        <v>115</v>
      </c>
      <c r="M30" s="16"/>
      <c r="N30" s="16"/>
      <c r="O30" s="16"/>
      <c r="P30" s="1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>
        <v>16000</v>
      </c>
      <c r="AS30" s="7"/>
      <c r="AT30" s="28" t="s">
        <v>224</v>
      </c>
      <c r="AU30" s="15"/>
      <c r="AV30" s="22">
        <v>5</v>
      </c>
      <c r="AW30" s="22">
        <v>3</v>
      </c>
      <c r="AX30" s="22">
        <v>5</v>
      </c>
      <c r="AY30" s="22">
        <v>3</v>
      </c>
      <c r="AZ30" s="22">
        <v>1</v>
      </c>
      <c r="BA30" s="22">
        <v>3</v>
      </c>
      <c r="BB30" s="22">
        <f t="shared" si="3"/>
        <v>79</v>
      </c>
    </row>
    <row r="31" spans="1:54" ht="28.8" hidden="1" x14ac:dyDescent="0.3">
      <c r="A31" s="4"/>
      <c r="B31" s="4" t="s">
        <v>171</v>
      </c>
      <c r="C31" s="4"/>
      <c r="D31" s="15" t="s">
        <v>15</v>
      </c>
      <c r="E31" s="15" t="s">
        <v>19</v>
      </c>
      <c r="F31" s="15" t="s">
        <v>138</v>
      </c>
      <c r="G31" s="15">
        <f t="shared" si="0"/>
        <v>2</v>
      </c>
      <c r="H31" s="15">
        <v>2</v>
      </c>
      <c r="I31" s="15" t="s">
        <v>113</v>
      </c>
      <c r="J31" s="15" t="s">
        <v>69</v>
      </c>
      <c r="K31" s="15" t="s">
        <v>68</v>
      </c>
      <c r="L31" s="16" t="s">
        <v>115</v>
      </c>
      <c r="M31" s="16"/>
      <c r="N31" s="16"/>
      <c r="O31" s="16"/>
      <c r="P31" s="1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>
        <v>5000</v>
      </c>
      <c r="AS31" s="7"/>
      <c r="AT31" s="28" t="s">
        <v>224</v>
      </c>
      <c r="AU31" s="15"/>
      <c r="AV31" s="22">
        <v>5</v>
      </c>
      <c r="AW31" s="22">
        <v>3</v>
      </c>
      <c r="AX31" s="22">
        <v>3</v>
      </c>
      <c r="AY31" s="22">
        <v>5</v>
      </c>
      <c r="AZ31" s="22">
        <v>1</v>
      </c>
      <c r="BA31" s="22">
        <v>1</v>
      </c>
      <c r="BB31" s="22">
        <f t="shared" si="3"/>
        <v>75</v>
      </c>
    </row>
    <row r="32" spans="1:54" ht="28.8" hidden="1" x14ac:dyDescent="0.3">
      <c r="A32" s="4"/>
      <c r="B32" s="4" t="s">
        <v>132</v>
      </c>
      <c r="C32" s="4"/>
      <c r="D32" s="15" t="s">
        <v>174</v>
      </c>
      <c r="E32" s="15"/>
      <c r="F32" s="15" t="s">
        <v>138</v>
      </c>
      <c r="G32" s="15">
        <f t="shared" si="0"/>
        <v>2</v>
      </c>
      <c r="H32" s="15">
        <v>2</v>
      </c>
      <c r="I32" s="15" t="s">
        <v>192</v>
      </c>
      <c r="J32" s="15" t="s">
        <v>69</v>
      </c>
      <c r="K32" s="15" t="s">
        <v>68</v>
      </c>
      <c r="L32" s="16" t="s">
        <v>115</v>
      </c>
      <c r="M32" s="16"/>
      <c r="N32" s="16" t="s">
        <v>115</v>
      </c>
      <c r="O32" s="16"/>
      <c r="P32" s="1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>
        <v>18000</v>
      </c>
      <c r="AS32" s="7"/>
      <c r="AT32" s="28" t="s">
        <v>224</v>
      </c>
      <c r="AU32" s="15"/>
      <c r="AV32" s="22">
        <v>5</v>
      </c>
      <c r="AW32" s="22">
        <v>3</v>
      </c>
      <c r="AX32" s="22">
        <v>3</v>
      </c>
      <c r="AY32" s="22">
        <v>5</v>
      </c>
      <c r="AZ32" s="22">
        <v>1</v>
      </c>
      <c r="BA32" s="22">
        <v>1</v>
      </c>
      <c r="BB32" s="22">
        <f t="shared" si="3"/>
        <v>75</v>
      </c>
    </row>
    <row r="33" spans="1:54" ht="28.8" hidden="1" x14ac:dyDescent="0.3">
      <c r="A33" s="4"/>
      <c r="B33" s="4" t="s">
        <v>301</v>
      </c>
      <c r="C33" s="4"/>
      <c r="D33" s="15" t="s">
        <v>15</v>
      </c>
      <c r="E33" s="15" t="s">
        <v>19</v>
      </c>
      <c r="F33" s="15" t="s">
        <v>138</v>
      </c>
      <c r="G33" s="15">
        <f>IF(F33="S",1,IF(F33="M",2,IF(F33="L",4,0)))</f>
        <v>2</v>
      </c>
      <c r="H33" s="15">
        <v>2</v>
      </c>
      <c r="I33" s="15" t="s">
        <v>113</v>
      </c>
      <c r="J33" s="15" t="s">
        <v>69</v>
      </c>
      <c r="K33" s="15"/>
      <c r="L33" s="16" t="s">
        <v>115</v>
      </c>
      <c r="M33" s="16" t="s">
        <v>115</v>
      </c>
      <c r="N33" s="16"/>
      <c r="O33" s="16"/>
      <c r="P33" s="16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28" t="s">
        <v>224</v>
      </c>
      <c r="AU33" s="15"/>
      <c r="AV33" s="22">
        <v>5</v>
      </c>
      <c r="AW33" s="22">
        <v>1</v>
      </c>
      <c r="AX33" s="22">
        <v>5</v>
      </c>
      <c r="AY33" s="22">
        <v>5</v>
      </c>
      <c r="AZ33" s="22">
        <v>1</v>
      </c>
      <c r="BA33" s="22">
        <v>1</v>
      </c>
      <c r="BB33" s="22">
        <f>AV33*$AV$1+AZ33*$AZ$1+AX33*$AX$1+AY33*$AY$1+AW33*$AW$1+BA33*$BA$1</f>
        <v>73</v>
      </c>
    </row>
    <row r="34" spans="1:54" ht="28.8" hidden="1" x14ac:dyDescent="0.3">
      <c r="A34" s="4"/>
      <c r="B34" s="4" t="s">
        <v>186</v>
      </c>
      <c r="C34" s="4"/>
      <c r="D34" s="15" t="s">
        <v>13</v>
      </c>
      <c r="E34" s="15"/>
      <c r="F34" s="15" t="s">
        <v>138</v>
      </c>
      <c r="G34" s="15">
        <f>IF(F34="S",1,IF(F34="M",2,IF(F34="L",4,0)))</f>
        <v>2</v>
      </c>
      <c r="H34" s="15">
        <v>2</v>
      </c>
      <c r="I34" s="15" t="s">
        <v>191</v>
      </c>
      <c r="J34" s="15" t="s">
        <v>69</v>
      </c>
      <c r="K34" s="15" t="s">
        <v>68</v>
      </c>
      <c r="L34" s="16" t="s">
        <v>115</v>
      </c>
      <c r="M34" s="16"/>
      <c r="N34" s="16"/>
      <c r="O34" s="16"/>
      <c r="P34" s="1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>
        <v>5000</v>
      </c>
      <c r="AS34" s="7"/>
      <c r="AT34" s="28" t="s">
        <v>224</v>
      </c>
      <c r="AU34" s="15" t="s">
        <v>190</v>
      </c>
      <c r="AV34" s="22">
        <v>5</v>
      </c>
      <c r="AW34" s="22">
        <v>5</v>
      </c>
      <c r="AX34" s="22">
        <v>3</v>
      </c>
      <c r="AY34" s="22">
        <v>1</v>
      </c>
      <c r="AZ34" s="22">
        <v>1</v>
      </c>
      <c r="BA34" s="22">
        <v>1</v>
      </c>
      <c r="BB34" s="22">
        <f>AV34*$AV$1+AZ34*$AZ$1+AX34*$AX$1+AY34*$AY$1+AW34*$AW$1+BA34*$BA$1</f>
        <v>73</v>
      </c>
    </row>
    <row r="35" spans="1:54" ht="28.8" hidden="1" x14ac:dyDescent="0.3">
      <c r="A35" s="4"/>
      <c r="B35" s="4" t="s">
        <v>261</v>
      </c>
      <c r="C35" s="4"/>
      <c r="D35" s="15" t="s">
        <v>13</v>
      </c>
      <c r="E35" s="15"/>
      <c r="F35" s="15" t="s">
        <v>138</v>
      </c>
      <c r="G35" s="15">
        <f>IF(F35="S",1,IF(F35="M",2,IF(F35="L",4,0)))</f>
        <v>2</v>
      </c>
      <c r="H35" s="15">
        <v>2</v>
      </c>
      <c r="I35" s="15" t="s">
        <v>191</v>
      </c>
      <c r="J35" s="15" t="s">
        <v>69</v>
      </c>
      <c r="K35" s="15" t="s">
        <v>68</v>
      </c>
      <c r="L35" s="16" t="s">
        <v>115</v>
      </c>
      <c r="M35" s="16"/>
      <c r="N35" s="16" t="s">
        <v>115</v>
      </c>
      <c r="O35" s="16"/>
      <c r="P35" s="1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>
        <v>10000</v>
      </c>
      <c r="AS35" s="7"/>
      <c r="AT35" s="28" t="s">
        <v>224</v>
      </c>
      <c r="AU35" s="15" t="s">
        <v>190</v>
      </c>
      <c r="AV35" s="22">
        <v>5</v>
      </c>
      <c r="AW35" s="22">
        <v>5</v>
      </c>
      <c r="AX35" s="22">
        <v>1</v>
      </c>
      <c r="AY35" s="22">
        <v>3</v>
      </c>
      <c r="AZ35" s="22">
        <v>1</v>
      </c>
      <c r="BA35" s="22">
        <v>1</v>
      </c>
      <c r="BB35" s="22">
        <f>AV35*$AV$1+AZ35*$AZ$1+AX35*$AX$1+AY35*$AY$1+AW35*$AW$1+BA35*$BA$1</f>
        <v>71</v>
      </c>
    </row>
    <row r="36" spans="1:54" ht="28.8" hidden="1" x14ac:dyDescent="0.3">
      <c r="A36" s="4"/>
      <c r="B36" s="4" t="s">
        <v>188</v>
      </c>
      <c r="C36" s="4"/>
      <c r="D36" s="15" t="s">
        <v>110</v>
      </c>
      <c r="E36" s="15"/>
      <c r="F36" s="15" t="s">
        <v>138</v>
      </c>
      <c r="G36" s="15">
        <f>IF(F36="S",1,IF(F36="M",2,IF(F36="L",4,0)))</f>
        <v>2</v>
      </c>
      <c r="H36" s="15">
        <v>1</v>
      </c>
      <c r="I36" s="15" t="s">
        <v>235</v>
      </c>
      <c r="J36" s="15" t="s">
        <v>69</v>
      </c>
      <c r="K36" s="15" t="s">
        <v>68</v>
      </c>
      <c r="L36" s="16"/>
      <c r="M36" s="16"/>
      <c r="N36" s="16" t="s">
        <v>115</v>
      </c>
      <c r="O36" s="16"/>
      <c r="P36" s="16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>
        <f>2500*4</f>
        <v>10000</v>
      </c>
      <c r="AS36" s="7"/>
      <c r="AT36" s="28" t="s">
        <v>224</v>
      </c>
      <c r="AU36" s="15" t="s">
        <v>190</v>
      </c>
      <c r="AV36" s="22">
        <v>5</v>
      </c>
      <c r="AW36" s="22">
        <v>5</v>
      </c>
      <c r="AX36" s="22">
        <v>1</v>
      </c>
      <c r="AY36" s="22">
        <v>3</v>
      </c>
      <c r="AZ36" s="22">
        <v>1</v>
      </c>
      <c r="BA36" s="22">
        <v>1</v>
      </c>
      <c r="BB36" s="22">
        <f>AV36*$AV$1+AZ36*$AZ$1+AX36*$AX$1+AY36*$AY$1+AW36*$AW$1+BA36*$BA$1</f>
        <v>71</v>
      </c>
    </row>
    <row r="37" spans="1:54" hidden="1" x14ac:dyDescent="0.3">
      <c r="A37" s="4"/>
      <c r="B37" s="4" t="s">
        <v>29</v>
      </c>
      <c r="C37" s="4"/>
      <c r="D37" s="15" t="s">
        <v>13</v>
      </c>
      <c r="E37" s="15"/>
      <c r="F37" s="15" t="s">
        <v>138</v>
      </c>
      <c r="G37" s="15">
        <f t="shared" si="0"/>
        <v>2</v>
      </c>
      <c r="H37" s="15">
        <v>2</v>
      </c>
      <c r="I37" s="15"/>
      <c r="J37" s="15" t="s">
        <v>69</v>
      </c>
      <c r="K37" s="15" t="s">
        <v>68</v>
      </c>
      <c r="L37" s="16"/>
      <c r="M37" s="16"/>
      <c r="N37" s="16" t="s">
        <v>115</v>
      </c>
      <c r="O37" s="16"/>
      <c r="P37" s="16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>
        <f>3800*4</f>
        <v>15200</v>
      </c>
      <c r="AS37" s="7"/>
      <c r="AT37" s="28" t="s">
        <v>179</v>
      </c>
      <c r="AU37" s="15" t="s">
        <v>190</v>
      </c>
      <c r="AV37" s="22">
        <v>5</v>
      </c>
      <c r="AW37" s="22">
        <v>5</v>
      </c>
      <c r="AX37" s="22">
        <v>1</v>
      </c>
      <c r="AY37" s="22">
        <v>3</v>
      </c>
      <c r="AZ37" s="22">
        <v>1</v>
      </c>
      <c r="BA37" s="22">
        <v>1</v>
      </c>
      <c r="BB37" s="22">
        <f t="shared" si="3"/>
        <v>71</v>
      </c>
    </row>
    <row r="38" spans="1:54" ht="28.8" hidden="1" x14ac:dyDescent="0.3">
      <c r="A38" s="4"/>
      <c r="B38" s="4" t="s">
        <v>231</v>
      </c>
      <c r="C38" s="4" t="s">
        <v>120</v>
      </c>
      <c r="D38" s="15" t="s">
        <v>15</v>
      </c>
      <c r="E38" s="15" t="s">
        <v>16</v>
      </c>
      <c r="F38" s="15" t="s">
        <v>140</v>
      </c>
      <c r="G38" s="15">
        <f t="shared" si="0"/>
        <v>1</v>
      </c>
      <c r="H38" s="15">
        <v>1</v>
      </c>
      <c r="I38" s="15" t="s">
        <v>113</v>
      </c>
      <c r="J38" s="15" t="s">
        <v>69</v>
      </c>
      <c r="K38" s="15" t="s">
        <v>68</v>
      </c>
      <c r="L38" s="16"/>
      <c r="M38" s="16" t="s">
        <v>115</v>
      </c>
      <c r="N38" s="16"/>
      <c r="O38" s="16"/>
      <c r="P38" s="1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>
        <v>3000</v>
      </c>
      <c r="AS38" s="7"/>
      <c r="AT38" s="28" t="s">
        <v>179</v>
      </c>
      <c r="AU38" s="15"/>
      <c r="AV38" s="22">
        <v>5</v>
      </c>
      <c r="AW38" s="22">
        <v>3</v>
      </c>
      <c r="AX38" s="22">
        <v>1</v>
      </c>
      <c r="AY38" s="22">
        <v>5</v>
      </c>
      <c r="AZ38" s="22">
        <v>3</v>
      </c>
      <c r="BA38" s="22">
        <v>1</v>
      </c>
      <c r="BB38" s="22">
        <f t="shared" si="3"/>
        <v>71</v>
      </c>
    </row>
    <row r="39" spans="1:54" ht="28.8" hidden="1" x14ac:dyDescent="0.3">
      <c r="A39" s="4"/>
      <c r="B39" s="4" t="s">
        <v>77</v>
      </c>
      <c r="C39" s="4" t="s">
        <v>73</v>
      </c>
      <c r="D39" s="15" t="s">
        <v>15</v>
      </c>
      <c r="E39" s="15"/>
      <c r="F39" s="15" t="s">
        <v>138</v>
      </c>
      <c r="G39" s="15">
        <f t="shared" si="0"/>
        <v>2</v>
      </c>
      <c r="H39" s="15">
        <v>2</v>
      </c>
      <c r="I39" s="15" t="s">
        <v>113</v>
      </c>
      <c r="J39" s="15" t="s">
        <v>69</v>
      </c>
      <c r="K39" s="15" t="s">
        <v>68</v>
      </c>
      <c r="L39" s="16"/>
      <c r="M39" s="16" t="s">
        <v>115</v>
      </c>
      <c r="N39" s="16"/>
      <c r="O39" s="16"/>
      <c r="P39" s="16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>
        <v>10000</v>
      </c>
      <c r="AS39" s="7"/>
      <c r="AT39" s="28" t="s">
        <v>179</v>
      </c>
      <c r="AU39" s="15"/>
      <c r="AV39" s="22">
        <v>5</v>
      </c>
      <c r="AW39" s="22">
        <v>3</v>
      </c>
      <c r="AX39" s="22">
        <v>3</v>
      </c>
      <c r="AY39" s="22">
        <v>3</v>
      </c>
      <c r="AZ39" s="22">
        <v>1</v>
      </c>
      <c r="BA39" s="22">
        <v>3</v>
      </c>
      <c r="BB39" s="22">
        <f t="shared" si="3"/>
        <v>71</v>
      </c>
    </row>
    <row r="40" spans="1:54" hidden="1" x14ac:dyDescent="0.3">
      <c r="A40" s="4"/>
      <c r="B40" s="4" t="s">
        <v>233</v>
      </c>
      <c r="C40" s="4"/>
      <c r="D40" s="15" t="s">
        <v>15</v>
      </c>
      <c r="E40" s="15" t="s">
        <v>16</v>
      </c>
      <c r="F40" s="15" t="s">
        <v>138</v>
      </c>
      <c r="G40" s="15">
        <f t="shared" si="0"/>
        <v>2</v>
      </c>
      <c r="H40" s="15">
        <v>2</v>
      </c>
      <c r="I40" s="15" t="s">
        <v>113</v>
      </c>
      <c r="J40" s="15" t="s">
        <v>69</v>
      </c>
      <c r="K40" s="15" t="s">
        <v>68</v>
      </c>
      <c r="L40" s="16" t="s">
        <v>115</v>
      </c>
      <c r="M40" s="16" t="s">
        <v>115</v>
      </c>
      <c r="N40" s="16"/>
      <c r="O40" s="16"/>
      <c r="P40" s="16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>
        <v>10000</v>
      </c>
      <c r="AS40" s="7"/>
      <c r="AT40" s="28" t="s">
        <v>179</v>
      </c>
      <c r="AU40" s="15"/>
      <c r="AV40" s="22">
        <v>5</v>
      </c>
      <c r="AW40" s="22">
        <v>5</v>
      </c>
      <c r="AX40" s="22">
        <v>1</v>
      </c>
      <c r="AY40" s="22">
        <v>3</v>
      </c>
      <c r="AZ40" s="22">
        <v>1</v>
      </c>
      <c r="BA40" s="22">
        <v>1</v>
      </c>
      <c r="BB40" s="22">
        <f t="shared" si="3"/>
        <v>71</v>
      </c>
    </row>
    <row r="41" spans="1:54" hidden="1" x14ac:dyDescent="0.3">
      <c r="A41" s="4"/>
      <c r="B41" s="4" t="s">
        <v>123</v>
      </c>
      <c r="C41" s="4"/>
      <c r="D41" s="15" t="s">
        <v>16</v>
      </c>
      <c r="E41" s="15"/>
      <c r="F41" s="15" t="s">
        <v>138</v>
      </c>
      <c r="G41" s="15">
        <f>IF(F41="S",1,IF(F41="M",2,IF(F41="L",4,0)))</f>
        <v>2</v>
      </c>
      <c r="H41" s="15">
        <v>0</v>
      </c>
      <c r="I41" s="15" t="s">
        <v>111</v>
      </c>
      <c r="J41" s="15"/>
      <c r="K41" s="15" t="s">
        <v>68</v>
      </c>
      <c r="L41" s="16"/>
      <c r="M41" s="16" t="s">
        <v>115</v>
      </c>
      <c r="N41" s="16"/>
      <c r="O41" s="16"/>
      <c r="P41" s="1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>
        <v>12000</v>
      </c>
      <c r="AS41" s="7"/>
      <c r="AT41" s="28" t="s">
        <v>179</v>
      </c>
      <c r="AU41" s="15"/>
      <c r="AV41" s="22">
        <v>5</v>
      </c>
      <c r="AW41" s="22">
        <v>3</v>
      </c>
      <c r="AX41" s="22">
        <v>3</v>
      </c>
      <c r="AY41" s="22">
        <v>3</v>
      </c>
      <c r="AZ41" s="22">
        <v>1</v>
      </c>
      <c r="BA41" s="22">
        <v>1</v>
      </c>
      <c r="BB41" s="22">
        <f>AV41*$AV$1+AZ41*$AZ$1+AX41*$AX$1+AY41*$AY$1+AW41*$AW$1+BA41*$BA$1</f>
        <v>69</v>
      </c>
    </row>
    <row r="42" spans="1:54" hidden="1" x14ac:dyDescent="0.3">
      <c r="A42" s="4"/>
      <c r="B42" s="4" t="s">
        <v>118</v>
      </c>
      <c r="C42" s="4"/>
      <c r="D42" s="15" t="s">
        <v>15</v>
      </c>
      <c r="E42" s="15" t="s">
        <v>108</v>
      </c>
      <c r="F42" s="15" t="s">
        <v>138</v>
      </c>
      <c r="G42" s="15">
        <f t="shared" si="0"/>
        <v>2</v>
      </c>
      <c r="H42" s="15">
        <v>2</v>
      </c>
      <c r="I42" s="15" t="s">
        <v>113</v>
      </c>
      <c r="J42" s="15" t="s">
        <v>69</v>
      </c>
      <c r="K42" s="15" t="s">
        <v>68</v>
      </c>
      <c r="L42" s="16" t="s">
        <v>115</v>
      </c>
      <c r="M42" s="16" t="s">
        <v>115</v>
      </c>
      <c r="N42" s="16"/>
      <c r="O42" s="16"/>
      <c r="P42" s="16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>
        <v>8000</v>
      </c>
      <c r="AS42" s="7"/>
      <c r="AT42" s="28" t="s">
        <v>179</v>
      </c>
      <c r="AU42" s="15"/>
      <c r="AV42" s="22">
        <v>5</v>
      </c>
      <c r="AW42" s="22">
        <v>3</v>
      </c>
      <c r="AX42" s="22">
        <v>1</v>
      </c>
      <c r="AY42" s="22">
        <v>5</v>
      </c>
      <c r="AZ42" s="22">
        <v>1</v>
      </c>
      <c r="BA42" s="22">
        <v>1</v>
      </c>
      <c r="BB42" s="22">
        <f t="shared" si="3"/>
        <v>67</v>
      </c>
    </row>
    <row r="43" spans="1:54" ht="28.8" hidden="1" x14ac:dyDescent="0.3">
      <c r="A43" s="4"/>
      <c r="B43" s="4" t="s">
        <v>22</v>
      </c>
      <c r="C43" s="4"/>
      <c r="D43" s="15" t="s">
        <v>16</v>
      </c>
      <c r="E43" s="15"/>
      <c r="F43" s="15" t="s">
        <v>138</v>
      </c>
      <c r="G43" s="15">
        <f t="shared" si="0"/>
        <v>2</v>
      </c>
      <c r="H43" s="15">
        <v>2</v>
      </c>
      <c r="I43" s="15" t="s">
        <v>111</v>
      </c>
      <c r="J43" s="15"/>
      <c r="K43" s="15" t="s">
        <v>68</v>
      </c>
      <c r="L43" s="16" t="s">
        <v>115</v>
      </c>
      <c r="M43" s="16"/>
      <c r="N43" s="16"/>
      <c r="O43" s="16"/>
      <c r="P43" s="16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>
        <v>12000</v>
      </c>
      <c r="AS43" s="7"/>
      <c r="AT43" s="28" t="s">
        <v>224</v>
      </c>
      <c r="AU43" s="15" t="s">
        <v>170</v>
      </c>
      <c r="AV43" s="22">
        <v>5</v>
      </c>
      <c r="AW43" s="22">
        <v>3</v>
      </c>
      <c r="AX43" s="22">
        <v>1</v>
      </c>
      <c r="AY43" s="22">
        <v>3</v>
      </c>
      <c r="AZ43" s="22">
        <v>3</v>
      </c>
      <c r="BA43" s="22">
        <v>1</v>
      </c>
      <c r="BB43" s="22">
        <f t="shared" si="3"/>
        <v>65</v>
      </c>
    </row>
    <row r="44" spans="1:54" hidden="1" x14ac:dyDescent="0.3">
      <c r="A44" s="4"/>
      <c r="B44" s="4" t="s">
        <v>95</v>
      </c>
      <c r="C44" s="4"/>
      <c r="D44" s="15" t="s">
        <v>14</v>
      </c>
      <c r="E44" s="15" t="s">
        <v>16</v>
      </c>
      <c r="F44" s="15" t="s">
        <v>138</v>
      </c>
      <c r="G44" s="15">
        <f t="shared" si="0"/>
        <v>2</v>
      </c>
      <c r="H44" s="15">
        <v>2</v>
      </c>
      <c r="I44" s="15" t="s">
        <v>112</v>
      </c>
      <c r="J44" s="15" t="s">
        <v>69</v>
      </c>
      <c r="K44" s="15" t="s">
        <v>68</v>
      </c>
      <c r="L44" s="16" t="s">
        <v>115</v>
      </c>
      <c r="M44" s="16"/>
      <c r="N44" s="16"/>
      <c r="O44" s="16"/>
      <c r="P44" s="16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>
        <v>5000</v>
      </c>
      <c r="AS44" s="7"/>
      <c r="AT44" s="28" t="s">
        <v>179</v>
      </c>
      <c r="AU44" s="15"/>
      <c r="AV44" s="22">
        <v>3</v>
      </c>
      <c r="AW44" s="22">
        <v>3</v>
      </c>
      <c r="AX44" s="22">
        <v>1</v>
      </c>
      <c r="AY44" s="22">
        <v>5</v>
      </c>
      <c r="AZ44" s="22">
        <v>5</v>
      </c>
      <c r="BA44" s="22">
        <v>1</v>
      </c>
      <c r="BB44" s="22">
        <f t="shared" si="3"/>
        <v>63</v>
      </c>
    </row>
    <row r="45" spans="1:54" ht="28.8" hidden="1" x14ac:dyDescent="0.3">
      <c r="A45" s="4"/>
      <c r="B45" s="4" t="s">
        <v>74</v>
      </c>
      <c r="C45" s="4" t="s">
        <v>75</v>
      </c>
      <c r="D45" s="15" t="s">
        <v>15</v>
      </c>
      <c r="E45" s="15"/>
      <c r="F45" s="15" t="s">
        <v>138</v>
      </c>
      <c r="G45" s="15">
        <f t="shared" si="0"/>
        <v>2</v>
      </c>
      <c r="H45" s="15">
        <v>2</v>
      </c>
      <c r="I45" s="15" t="s">
        <v>113</v>
      </c>
      <c r="J45" s="15" t="s">
        <v>69</v>
      </c>
      <c r="K45" s="15" t="s">
        <v>68</v>
      </c>
      <c r="L45" s="16"/>
      <c r="M45" s="16" t="s">
        <v>115</v>
      </c>
      <c r="N45" s="16"/>
      <c r="O45" s="16"/>
      <c r="P45" s="16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>
        <v>5000</v>
      </c>
      <c r="AS45" s="7"/>
      <c r="AT45" s="28" t="s">
        <v>179</v>
      </c>
      <c r="AU45" s="15"/>
      <c r="AV45" s="22">
        <v>5</v>
      </c>
      <c r="AW45" s="22">
        <v>1</v>
      </c>
      <c r="AX45" s="22">
        <v>5</v>
      </c>
      <c r="AY45" s="22">
        <v>1</v>
      </c>
      <c r="AZ45" s="22">
        <v>1</v>
      </c>
      <c r="BA45" s="22">
        <v>1</v>
      </c>
      <c r="BB45" s="22">
        <f t="shared" si="3"/>
        <v>61</v>
      </c>
    </row>
    <row r="46" spans="1:54" ht="100.8" hidden="1" x14ac:dyDescent="0.3">
      <c r="A46" s="4"/>
      <c r="B46" s="4" t="s">
        <v>236</v>
      </c>
      <c r="C46" s="4" t="s">
        <v>107</v>
      </c>
      <c r="D46" s="15" t="s">
        <v>19</v>
      </c>
      <c r="E46" s="15"/>
      <c r="F46" s="15" t="s">
        <v>139</v>
      </c>
      <c r="G46" s="15">
        <f t="shared" si="0"/>
        <v>4</v>
      </c>
      <c r="H46" s="15">
        <v>4</v>
      </c>
      <c r="I46" s="15" t="s">
        <v>83</v>
      </c>
      <c r="J46" s="15" t="s">
        <v>69</v>
      </c>
      <c r="K46" s="15" t="s">
        <v>68</v>
      </c>
      <c r="L46" s="16" t="s">
        <v>115</v>
      </c>
      <c r="M46" s="16"/>
      <c r="N46" s="16"/>
      <c r="O46" s="16"/>
      <c r="P46" s="16" t="s">
        <v>115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>
        <v>15000</v>
      </c>
      <c r="AS46" s="7"/>
      <c r="AT46" s="28" t="s">
        <v>179</v>
      </c>
      <c r="AU46" s="15"/>
      <c r="AV46" s="22">
        <v>5</v>
      </c>
      <c r="AW46" s="22">
        <v>1</v>
      </c>
      <c r="AX46" s="22">
        <v>5</v>
      </c>
      <c r="AY46" s="22">
        <v>1</v>
      </c>
      <c r="AZ46" s="22">
        <v>1</v>
      </c>
      <c r="BA46" s="22">
        <v>1</v>
      </c>
      <c r="BB46" s="22">
        <f t="shared" si="3"/>
        <v>61</v>
      </c>
    </row>
    <row r="47" spans="1:54" ht="28.8" hidden="1" x14ac:dyDescent="0.3">
      <c r="A47" s="4"/>
      <c r="B47" s="4" t="s">
        <v>81</v>
      </c>
      <c r="C47" s="4" t="s">
        <v>86</v>
      </c>
      <c r="D47" s="15" t="s">
        <v>19</v>
      </c>
      <c r="E47" s="15"/>
      <c r="F47" s="15" t="s">
        <v>138</v>
      </c>
      <c r="G47" s="15">
        <f t="shared" si="0"/>
        <v>2</v>
      </c>
      <c r="H47" s="15">
        <v>2</v>
      </c>
      <c r="I47" s="15" t="s">
        <v>83</v>
      </c>
      <c r="J47" s="15" t="s">
        <v>69</v>
      </c>
      <c r="K47" s="15" t="s">
        <v>68</v>
      </c>
      <c r="L47" s="16" t="s">
        <v>115</v>
      </c>
      <c r="M47" s="16"/>
      <c r="N47" s="16"/>
      <c r="O47" s="16"/>
      <c r="P47" s="16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>
        <v>15000</v>
      </c>
      <c r="AS47" s="7"/>
      <c r="AT47" s="28" t="s">
        <v>179</v>
      </c>
      <c r="AU47" s="15"/>
      <c r="AV47" s="22">
        <v>5</v>
      </c>
      <c r="AW47" s="22">
        <v>1</v>
      </c>
      <c r="AX47" s="22">
        <v>3</v>
      </c>
      <c r="AY47" s="22">
        <v>3</v>
      </c>
      <c r="AZ47" s="22">
        <v>1</v>
      </c>
      <c r="BA47" s="22">
        <v>1</v>
      </c>
      <c r="BB47" s="22">
        <f t="shared" si="3"/>
        <v>59</v>
      </c>
    </row>
    <row r="48" spans="1:54" hidden="1" x14ac:dyDescent="0.3">
      <c r="A48" s="4"/>
      <c r="B48" s="4" t="s">
        <v>152</v>
      </c>
      <c r="C48" s="4"/>
      <c r="D48" s="15" t="s">
        <v>14</v>
      </c>
      <c r="E48" s="15"/>
      <c r="F48" s="15" t="s">
        <v>139</v>
      </c>
      <c r="G48" s="15">
        <f t="shared" si="0"/>
        <v>4</v>
      </c>
      <c r="H48" s="15">
        <v>4</v>
      </c>
      <c r="I48" s="15" t="s">
        <v>112</v>
      </c>
      <c r="J48" s="15" t="s">
        <v>69</v>
      </c>
      <c r="K48" s="15" t="s">
        <v>68</v>
      </c>
      <c r="L48" s="16" t="s">
        <v>115</v>
      </c>
      <c r="M48" s="16" t="s">
        <v>115</v>
      </c>
      <c r="N48" s="16"/>
      <c r="O48" s="16" t="s">
        <v>115</v>
      </c>
      <c r="P48" s="16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>
        <v>6000</v>
      </c>
      <c r="AS48" s="7"/>
      <c r="AT48" s="28" t="s">
        <v>179</v>
      </c>
      <c r="AU48" s="15"/>
      <c r="AV48" s="22">
        <v>5</v>
      </c>
      <c r="AW48" s="22">
        <v>1</v>
      </c>
      <c r="AX48" s="22">
        <v>1</v>
      </c>
      <c r="AY48" s="22">
        <v>5</v>
      </c>
      <c r="AZ48" s="22">
        <v>1</v>
      </c>
      <c r="BA48" s="22">
        <v>1</v>
      </c>
      <c r="BB48" s="22">
        <f t="shared" si="3"/>
        <v>57</v>
      </c>
    </row>
    <row r="49" spans="1:54" ht="28.8" hidden="1" x14ac:dyDescent="0.3">
      <c r="A49" s="4"/>
      <c r="B49" s="4" t="s">
        <v>99</v>
      </c>
      <c r="C49" s="4" t="s">
        <v>100</v>
      </c>
      <c r="D49" s="15" t="s">
        <v>14</v>
      </c>
      <c r="E49" s="15"/>
      <c r="F49" s="15" t="s">
        <v>140</v>
      </c>
      <c r="G49" s="15">
        <f t="shared" si="0"/>
        <v>1</v>
      </c>
      <c r="H49" s="15">
        <v>1</v>
      </c>
      <c r="I49" s="15" t="s">
        <v>112</v>
      </c>
      <c r="J49" s="15" t="s">
        <v>69</v>
      </c>
      <c r="K49" s="15" t="s">
        <v>68</v>
      </c>
      <c r="L49" s="16" t="s">
        <v>115</v>
      </c>
      <c r="M49" s="16"/>
      <c r="N49" s="16"/>
      <c r="O49" s="16"/>
      <c r="P49" s="16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>
        <v>8000</v>
      </c>
      <c r="AS49" s="7"/>
      <c r="AT49" s="28" t="s">
        <v>179</v>
      </c>
      <c r="AU49" s="15"/>
      <c r="AV49" s="22">
        <v>5</v>
      </c>
      <c r="AW49" s="22">
        <v>3</v>
      </c>
      <c r="AX49" s="22">
        <v>1</v>
      </c>
      <c r="AY49" s="22">
        <v>1</v>
      </c>
      <c r="AZ49" s="22">
        <v>1</v>
      </c>
      <c r="BA49" s="22">
        <v>1</v>
      </c>
      <c r="BB49" s="22">
        <f t="shared" si="3"/>
        <v>55</v>
      </c>
    </row>
    <row r="50" spans="1:54" hidden="1" x14ac:dyDescent="0.3">
      <c r="A50" s="4"/>
      <c r="B50" s="4" t="s">
        <v>102</v>
      </c>
      <c r="C50" s="4"/>
      <c r="D50" s="15" t="s">
        <v>14</v>
      </c>
      <c r="E50" s="15"/>
      <c r="F50" s="15" t="s">
        <v>139</v>
      </c>
      <c r="G50" s="15">
        <f t="shared" si="0"/>
        <v>4</v>
      </c>
      <c r="H50" s="15">
        <v>4</v>
      </c>
      <c r="I50" s="15" t="s">
        <v>112</v>
      </c>
      <c r="J50" s="15" t="s">
        <v>69</v>
      </c>
      <c r="K50" s="15" t="s">
        <v>68</v>
      </c>
      <c r="L50" s="16" t="s">
        <v>115</v>
      </c>
      <c r="M50" s="16" t="s">
        <v>115</v>
      </c>
      <c r="N50" s="16"/>
      <c r="O50" s="16"/>
      <c r="P50" s="16" t="s">
        <v>115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>
        <v>8000</v>
      </c>
      <c r="AS50" s="7"/>
      <c r="AT50" s="28" t="s">
        <v>179</v>
      </c>
      <c r="AU50" s="15"/>
      <c r="AV50" s="22">
        <v>5</v>
      </c>
      <c r="AW50" s="22">
        <v>3</v>
      </c>
      <c r="AX50" s="22">
        <v>1</v>
      </c>
      <c r="AY50" s="22">
        <v>1</v>
      </c>
      <c r="AZ50" s="22">
        <v>1</v>
      </c>
      <c r="BA50" s="22">
        <v>1</v>
      </c>
      <c r="BB50" s="22">
        <f t="shared" si="3"/>
        <v>55</v>
      </c>
    </row>
    <row r="51" spans="1:54" ht="57.6" hidden="1" x14ac:dyDescent="0.3">
      <c r="A51" s="4"/>
      <c r="B51" s="4" t="s">
        <v>177</v>
      </c>
      <c r="C51" s="4" t="s">
        <v>176</v>
      </c>
      <c r="D51" s="15" t="s">
        <v>36</v>
      </c>
      <c r="E51" s="15"/>
      <c r="F51" s="15" t="s">
        <v>138</v>
      </c>
      <c r="G51" s="15">
        <f t="shared" si="0"/>
        <v>2</v>
      </c>
      <c r="H51" s="15">
        <v>2</v>
      </c>
      <c r="I51" s="15" t="s">
        <v>178</v>
      </c>
      <c r="J51" s="15" t="s">
        <v>69</v>
      </c>
      <c r="K51" s="15" t="s">
        <v>68</v>
      </c>
      <c r="L51" s="16"/>
      <c r="M51" s="16"/>
      <c r="N51" s="16" t="s">
        <v>115</v>
      </c>
      <c r="O51" s="16"/>
      <c r="P51" s="1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>
        <v>10000</v>
      </c>
      <c r="AS51" s="7"/>
      <c r="AT51" s="28" t="s">
        <v>179</v>
      </c>
      <c r="AU51" s="15"/>
      <c r="AV51" s="22">
        <v>5</v>
      </c>
      <c r="AW51" s="22">
        <v>3</v>
      </c>
      <c r="AX51" s="22">
        <v>1</v>
      </c>
      <c r="AY51" s="22">
        <v>1</v>
      </c>
      <c r="AZ51" s="22">
        <v>1</v>
      </c>
      <c r="BA51" s="22">
        <v>1</v>
      </c>
      <c r="BB51" s="22">
        <f t="shared" si="3"/>
        <v>55</v>
      </c>
    </row>
    <row r="52" spans="1:54" hidden="1" x14ac:dyDescent="0.3">
      <c r="A52" s="4"/>
      <c r="B52" s="4" t="s">
        <v>80</v>
      </c>
      <c r="C52" s="4" t="s">
        <v>90</v>
      </c>
      <c r="D52" s="15" t="s">
        <v>19</v>
      </c>
      <c r="E52" s="15" t="s">
        <v>16</v>
      </c>
      <c r="F52" s="15" t="s">
        <v>138</v>
      </c>
      <c r="G52" s="15">
        <f t="shared" si="0"/>
        <v>2</v>
      </c>
      <c r="H52" s="15">
        <v>2</v>
      </c>
      <c r="I52" s="15" t="s">
        <v>83</v>
      </c>
      <c r="J52" s="15" t="s">
        <v>69</v>
      </c>
      <c r="K52" s="15" t="s">
        <v>68</v>
      </c>
      <c r="L52" s="16" t="s">
        <v>115</v>
      </c>
      <c r="M52" s="16"/>
      <c r="N52" s="16"/>
      <c r="O52" s="16"/>
      <c r="P52" s="16" t="s">
        <v>115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>
        <v>10000</v>
      </c>
      <c r="AS52" s="7"/>
      <c r="AT52" s="28" t="s">
        <v>179</v>
      </c>
      <c r="AU52" s="15"/>
      <c r="AV52" s="22">
        <v>5</v>
      </c>
      <c r="AW52" s="22">
        <v>1</v>
      </c>
      <c r="AX52" s="22">
        <v>3</v>
      </c>
      <c r="AY52" s="22">
        <v>1</v>
      </c>
      <c r="AZ52" s="22">
        <v>1</v>
      </c>
      <c r="BA52" s="22">
        <v>1</v>
      </c>
      <c r="BB52" s="22">
        <f t="shared" si="3"/>
        <v>53</v>
      </c>
    </row>
    <row r="53" spans="1:54" ht="28.8" hidden="1" x14ac:dyDescent="0.3">
      <c r="A53" s="4"/>
      <c r="B53" s="4" t="s">
        <v>232</v>
      </c>
      <c r="C53" s="4" t="s">
        <v>87</v>
      </c>
      <c r="D53" s="15" t="s">
        <v>19</v>
      </c>
      <c r="E53" s="15"/>
      <c r="F53" s="15" t="s">
        <v>138</v>
      </c>
      <c r="G53" s="15">
        <f t="shared" si="0"/>
        <v>2</v>
      </c>
      <c r="H53" s="15">
        <v>2</v>
      </c>
      <c r="I53" s="15" t="s">
        <v>83</v>
      </c>
      <c r="J53" s="15" t="s">
        <v>69</v>
      </c>
      <c r="K53" s="15" t="s">
        <v>68</v>
      </c>
      <c r="L53" s="16" t="s">
        <v>115</v>
      </c>
      <c r="M53" s="16"/>
      <c r="N53" s="16"/>
      <c r="O53" s="16"/>
      <c r="P53" s="1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>
        <v>7000</v>
      </c>
      <c r="AS53" s="7"/>
      <c r="AT53" s="28" t="s">
        <v>179</v>
      </c>
      <c r="AU53" s="15"/>
      <c r="AV53" s="22">
        <v>5</v>
      </c>
      <c r="AW53" s="22">
        <v>1</v>
      </c>
      <c r="AX53" s="22">
        <v>3</v>
      </c>
      <c r="AY53" s="22">
        <v>1</v>
      </c>
      <c r="AZ53" s="22">
        <v>1</v>
      </c>
      <c r="BA53" s="22">
        <v>1</v>
      </c>
      <c r="BB53" s="22">
        <f t="shared" si="3"/>
        <v>53</v>
      </c>
    </row>
    <row r="54" spans="1:54" hidden="1" x14ac:dyDescent="0.3">
      <c r="A54" s="4"/>
      <c r="B54" s="4" t="s">
        <v>94</v>
      </c>
      <c r="C54" s="4"/>
      <c r="D54" s="15" t="s">
        <v>16</v>
      </c>
      <c r="E54" s="15"/>
      <c r="F54" s="15" t="s">
        <v>139</v>
      </c>
      <c r="G54" s="15">
        <f t="shared" si="0"/>
        <v>4</v>
      </c>
      <c r="H54" s="15">
        <v>4</v>
      </c>
      <c r="I54" s="15" t="s">
        <v>111</v>
      </c>
      <c r="J54" s="15"/>
      <c r="K54" s="15" t="s">
        <v>68</v>
      </c>
      <c r="L54" s="16"/>
      <c r="M54" s="16"/>
      <c r="N54" s="16"/>
      <c r="O54" s="16"/>
      <c r="P54" s="16" t="s">
        <v>115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>
        <v>12000</v>
      </c>
      <c r="AS54" s="7"/>
      <c r="AT54" s="28" t="s">
        <v>179</v>
      </c>
      <c r="AU54" s="15"/>
      <c r="AV54" s="22">
        <v>5</v>
      </c>
      <c r="AW54" s="22">
        <v>1</v>
      </c>
      <c r="AX54" s="22">
        <v>1</v>
      </c>
      <c r="AY54" s="22">
        <v>3</v>
      </c>
      <c r="AZ54" s="22">
        <v>1</v>
      </c>
      <c r="BA54" s="22">
        <v>1</v>
      </c>
      <c r="BB54" s="22">
        <f t="shared" si="3"/>
        <v>51</v>
      </c>
    </row>
    <row r="55" spans="1:54" hidden="1" x14ac:dyDescent="0.3">
      <c r="A55" s="4"/>
      <c r="B55" s="4" t="s">
        <v>121</v>
      </c>
      <c r="C55" s="4"/>
      <c r="D55" s="15" t="s">
        <v>97</v>
      </c>
      <c r="E55" s="15"/>
      <c r="F55" s="15" t="s">
        <v>140</v>
      </c>
      <c r="G55" s="15">
        <f t="shared" si="0"/>
        <v>1</v>
      </c>
      <c r="H55" s="15">
        <v>1</v>
      </c>
      <c r="I55" s="15"/>
      <c r="J55" s="15" t="s">
        <v>69</v>
      </c>
      <c r="K55" s="15" t="s">
        <v>68</v>
      </c>
      <c r="L55" s="16" t="s">
        <v>115</v>
      </c>
      <c r="M55" s="16"/>
      <c r="N55" s="16"/>
      <c r="O55" s="16"/>
      <c r="P55" s="16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>
        <v>5000</v>
      </c>
      <c r="AS55" s="7"/>
      <c r="AT55" s="28" t="s">
        <v>179</v>
      </c>
      <c r="AU55" s="15"/>
      <c r="AV55" s="22">
        <v>3</v>
      </c>
      <c r="AW55" s="22">
        <v>3</v>
      </c>
      <c r="AX55" s="22">
        <v>1</v>
      </c>
      <c r="AY55" s="22">
        <v>3</v>
      </c>
      <c r="AZ55" s="22">
        <v>1</v>
      </c>
      <c r="BA55" s="22">
        <v>1</v>
      </c>
      <c r="BB55" s="22">
        <f t="shared" si="3"/>
        <v>49</v>
      </c>
    </row>
    <row r="56" spans="1:54" ht="28.8" hidden="1" x14ac:dyDescent="0.3">
      <c r="A56" s="4"/>
      <c r="B56" s="4" t="s">
        <v>101</v>
      </c>
      <c r="C56" s="4"/>
      <c r="D56" s="15" t="s">
        <v>14</v>
      </c>
      <c r="E56" s="15"/>
      <c r="F56" s="15" t="s">
        <v>140</v>
      </c>
      <c r="G56" s="15">
        <f t="shared" si="0"/>
        <v>1</v>
      </c>
      <c r="H56" s="15">
        <v>1</v>
      </c>
      <c r="I56" s="15" t="s">
        <v>112</v>
      </c>
      <c r="J56" s="15" t="s">
        <v>69</v>
      </c>
      <c r="K56" s="15" t="s">
        <v>68</v>
      </c>
      <c r="L56" s="16" t="s">
        <v>115</v>
      </c>
      <c r="M56" s="16"/>
      <c r="N56" s="16"/>
      <c r="O56" s="16"/>
      <c r="P56" s="1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>
        <v>4000</v>
      </c>
      <c r="AS56" s="7"/>
      <c r="AT56" s="28" t="s">
        <v>179</v>
      </c>
      <c r="AU56" s="15"/>
      <c r="AV56" s="22">
        <v>5</v>
      </c>
      <c r="AW56" s="22">
        <v>1</v>
      </c>
      <c r="AX56" s="22">
        <v>1</v>
      </c>
      <c r="AY56" s="22">
        <v>1</v>
      </c>
      <c r="AZ56" s="22">
        <v>1</v>
      </c>
      <c r="BA56" s="22">
        <v>1</v>
      </c>
      <c r="BB56" s="22">
        <f t="shared" si="3"/>
        <v>45</v>
      </c>
    </row>
    <row r="57" spans="1:54" hidden="1" x14ac:dyDescent="0.3">
      <c r="A57" s="4"/>
      <c r="B57" s="4" t="s">
        <v>96</v>
      </c>
      <c r="C57" s="4"/>
      <c r="D57" s="15" t="s">
        <v>97</v>
      </c>
      <c r="E57" s="15"/>
      <c r="F57" s="15" t="s">
        <v>139</v>
      </c>
      <c r="G57" s="15">
        <f t="shared" si="0"/>
        <v>4</v>
      </c>
      <c r="H57" s="15">
        <v>4</v>
      </c>
      <c r="I57" s="15"/>
      <c r="J57" s="15" t="s">
        <v>69</v>
      </c>
      <c r="K57" s="15" t="s">
        <v>68</v>
      </c>
      <c r="L57" s="16" t="s">
        <v>115</v>
      </c>
      <c r="M57" s="16"/>
      <c r="N57" s="16"/>
      <c r="O57" s="16"/>
      <c r="P57" s="1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>
        <v>16000</v>
      </c>
      <c r="AS57" s="7"/>
      <c r="AT57" s="28" t="s">
        <v>179</v>
      </c>
      <c r="AU57" s="15"/>
      <c r="AV57" s="22">
        <v>5</v>
      </c>
      <c r="AW57" s="22">
        <v>1</v>
      </c>
      <c r="AX57" s="22">
        <v>1</v>
      </c>
      <c r="AY57" s="22">
        <v>1</v>
      </c>
      <c r="AZ57" s="22">
        <v>1</v>
      </c>
      <c r="BA57" s="22">
        <v>1</v>
      </c>
      <c r="BB57" s="22">
        <f t="shared" si="3"/>
        <v>45</v>
      </c>
    </row>
    <row r="58" spans="1:54" hidden="1" x14ac:dyDescent="0.3">
      <c r="A58" s="4"/>
      <c r="B58" s="4" t="s">
        <v>122</v>
      </c>
      <c r="C58" s="4"/>
      <c r="D58" s="15" t="s">
        <v>33</v>
      </c>
      <c r="E58" s="15"/>
      <c r="F58" s="15" t="s">
        <v>138</v>
      </c>
      <c r="G58" s="15">
        <f>IF(F58="S",1,IF(F58="M",2,IF(F58="L",4,0)))</f>
        <v>2</v>
      </c>
      <c r="H58" s="15">
        <v>2</v>
      </c>
      <c r="I58" s="15" t="s">
        <v>128</v>
      </c>
      <c r="J58" s="15" t="s">
        <v>69</v>
      </c>
      <c r="K58" s="15" t="s">
        <v>68</v>
      </c>
      <c r="L58" s="16" t="s">
        <v>115</v>
      </c>
      <c r="M58" s="16"/>
      <c r="N58" s="16" t="s">
        <v>115</v>
      </c>
      <c r="O58" s="16"/>
      <c r="P58" s="1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>
        <v>10000</v>
      </c>
      <c r="AS58" s="7"/>
      <c r="AT58" s="28" t="s">
        <v>179</v>
      </c>
      <c r="AU58" s="15"/>
      <c r="AV58" s="22">
        <v>3</v>
      </c>
      <c r="AW58" s="22">
        <v>1</v>
      </c>
      <c r="AX58" s="22">
        <v>3</v>
      </c>
      <c r="AY58" s="22">
        <v>1</v>
      </c>
      <c r="AZ58" s="22">
        <v>1</v>
      </c>
      <c r="BA58" s="22">
        <v>1</v>
      </c>
      <c r="BB58" s="22">
        <f>AV58*$AV$1+AZ58*$AZ$1+AX58*$AX$1+AY58*$AY$1+AW58*$AW$1+BA58*$BA$1</f>
        <v>41</v>
      </c>
    </row>
    <row r="59" spans="1:54" hidden="1" x14ac:dyDescent="0.3">
      <c r="A59" s="4"/>
      <c r="B59" s="4" t="s">
        <v>189</v>
      </c>
      <c r="C59" s="4"/>
      <c r="D59" s="15" t="s">
        <v>33</v>
      </c>
      <c r="E59" s="15"/>
      <c r="F59" s="15" t="s">
        <v>138</v>
      </c>
      <c r="G59" s="15">
        <f>IF(F59="S",1,IF(F59="M",2,IF(F59="L",4,0)))</f>
        <v>2</v>
      </c>
      <c r="H59" s="15">
        <v>2</v>
      </c>
      <c r="I59" s="15" t="s">
        <v>128</v>
      </c>
      <c r="J59" s="15" t="s">
        <v>69</v>
      </c>
      <c r="K59" s="15" t="s">
        <v>68</v>
      </c>
      <c r="L59" s="16"/>
      <c r="M59" s="16"/>
      <c r="N59" s="16"/>
      <c r="O59" s="16" t="s">
        <v>115</v>
      </c>
      <c r="P59" s="1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>
        <f>2500*4</f>
        <v>10000</v>
      </c>
      <c r="AS59" s="7"/>
      <c r="AT59" s="28" t="s">
        <v>179</v>
      </c>
      <c r="AU59" s="15" t="s">
        <v>190</v>
      </c>
      <c r="AV59" s="22">
        <v>1</v>
      </c>
      <c r="AW59" s="22">
        <v>1</v>
      </c>
      <c r="AX59" s="22">
        <v>1</v>
      </c>
      <c r="AY59" s="22">
        <v>3</v>
      </c>
      <c r="AZ59" s="22">
        <v>1</v>
      </c>
      <c r="BA59" s="22">
        <v>5</v>
      </c>
      <c r="BB59" s="22">
        <f>AV59*$AV$1+AZ59*$AZ$1+AX59*$AX$1+AY59*$AY$1+AW59*$AW$1+BA59*$BA$1</f>
        <v>31</v>
      </c>
    </row>
    <row r="60" spans="1:54" ht="28.8" hidden="1" x14ac:dyDescent="0.3">
      <c r="A60" s="4"/>
      <c r="B60" s="4" t="s">
        <v>304</v>
      </c>
      <c r="C60" s="4" t="s">
        <v>305</v>
      </c>
      <c r="D60" s="15" t="s">
        <v>27</v>
      </c>
      <c r="E60" s="15"/>
      <c r="F60" s="15"/>
      <c r="G60" s="15"/>
      <c r="H60" s="15"/>
      <c r="I60" s="15"/>
      <c r="J60" s="15"/>
      <c r="K60" s="15"/>
      <c r="L60" s="16"/>
      <c r="M60" s="16"/>
      <c r="N60" s="16"/>
      <c r="O60" s="16"/>
      <c r="P60" s="1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28" t="s">
        <v>179</v>
      </c>
      <c r="AU60" s="15"/>
      <c r="AV60" s="22"/>
      <c r="AW60" s="22"/>
      <c r="AX60" s="22"/>
      <c r="AY60" s="22"/>
      <c r="AZ60" s="22"/>
      <c r="BA60" s="22"/>
      <c r="BB60" s="22"/>
    </row>
    <row r="61" spans="1:54" ht="28.8" hidden="1" x14ac:dyDescent="0.3">
      <c r="A61" s="4"/>
      <c r="B61" s="4" t="s">
        <v>307</v>
      </c>
      <c r="C61" s="4"/>
      <c r="D61" s="15" t="s">
        <v>97</v>
      </c>
      <c r="E61" s="15"/>
      <c r="F61" s="15"/>
      <c r="G61" s="15"/>
      <c r="H61" s="15"/>
      <c r="I61" s="15"/>
      <c r="J61" s="15"/>
      <c r="K61" s="15"/>
      <c r="L61" s="16"/>
      <c r="M61" s="16"/>
      <c r="N61" s="16"/>
      <c r="O61" s="16"/>
      <c r="P61" s="16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28" t="s">
        <v>179</v>
      </c>
      <c r="AU61" s="15"/>
      <c r="AV61" s="22"/>
      <c r="AW61" s="22"/>
      <c r="AX61" s="22"/>
      <c r="AY61" s="22"/>
      <c r="AZ61" s="22"/>
      <c r="BA61" s="22"/>
      <c r="BB61" s="22"/>
    </row>
    <row r="62" spans="1:54" ht="43.2" hidden="1" x14ac:dyDescent="0.3">
      <c r="A62" s="4"/>
      <c r="B62" s="4" t="s">
        <v>309</v>
      </c>
      <c r="C62" s="4" t="s">
        <v>310</v>
      </c>
      <c r="D62" s="15" t="s">
        <v>14</v>
      </c>
      <c r="E62" s="15"/>
      <c r="F62" s="15"/>
      <c r="G62" s="15"/>
      <c r="H62" s="15"/>
      <c r="I62" s="15"/>
      <c r="J62" s="15"/>
      <c r="K62" s="15"/>
      <c r="L62" s="16"/>
      <c r="M62" s="16"/>
      <c r="N62" s="16"/>
      <c r="O62" s="16"/>
      <c r="P62" s="16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28" t="s">
        <v>179</v>
      </c>
      <c r="AU62" s="15"/>
      <c r="AV62" s="22"/>
      <c r="AW62" s="22"/>
      <c r="AX62" s="22"/>
      <c r="AY62" s="22"/>
      <c r="AZ62" s="22"/>
      <c r="BA62" s="22"/>
      <c r="BB62" s="22"/>
    </row>
    <row r="63" spans="1:54" ht="28.8" hidden="1" x14ac:dyDescent="0.3">
      <c r="A63" s="4"/>
      <c r="B63" s="4" t="s">
        <v>311</v>
      </c>
      <c r="C63" s="4" t="s">
        <v>312</v>
      </c>
      <c r="D63" s="15" t="s">
        <v>33</v>
      </c>
      <c r="E63" s="15"/>
      <c r="F63" s="15"/>
      <c r="G63" s="15"/>
      <c r="H63" s="15"/>
      <c r="I63" s="15"/>
      <c r="J63" s="15"/>
      <c r="K63" s="15"/>
      <c r="L63" s="16"/>
      <c r="M63" s="16"/>
      <c r="N63" s="16"/>
      <c r="O63" s="16"/>
      <c r="P63" s="16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28" t="s">
        <v>179</v>
      </c>
      <c r="AU63" s="15"/>
      <c r="AV63" s="22"/>
      <c r="AW63" s="22"/>
      <c r="AX63" s="22"/>
      <c r="AY63" s="22"/>
      <c r="AZ63" s="22"/>
      <c r="BA63" s="22"/>
      <c r="BB63" s="22"/>
    </row>
    <row r="64" spans="1:54" x14ac:dyDescent="0.3">
      <c r="A64" s="4"/>
      <c r="B64" s="4"/>
      <c r="C64" s="4"/>
      <c r="D64" s="15"/>
      <c r="E64" s="15"/>
      <c r="F64" s="15"/>
      <c r="G64" s="15"/>
      <c r="H64" s="15"/>
      <c r="I64" s="15"/>
      <c r="J64" s="15"/>
      <c r="K64" s="15"/>
      <c r="L64" s="16"/>
      <c r="M64" s="16"/>
      <c r="N64" s="16"/>
      <c r="O64" s="16"/>
      <c r="P64" s="16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28"/>
      <c r="AU64" s="15"/>
      <c r="AV64" s="22"/>
      <c r="AW64" s="22"/>
      <c r="AX64" s="22"/>
      <c r="AY64" s="22"/>
      <c r="AZ64" s="22"/>
      <c r="BA64" s="22"/>
      <c r="BB64" s="22"/>
    </row>
    <row r="65" spans="1:54" ht="28.8" x14ac:dyDescent="0.3">
      <c r="A65" s="4"/>
      <c r="B65" s="4" t="s">
        <v>306</v>
      </c>
      <c r="C65" s="4"/>
      <c r="D65" s="15" t="s">
        <v>27</v>
      </c>
      <c r="E65" s="15"/>
      <c r="F65" s="15"/>
      <c r="G65" s="15"/>
      <c r="H65" s="15"/>
      <c r="I65" s="15"/>
      <c r="J65" s="15"/>
      <c r="K65" s="15"/>
      <c r="L65" s="16"/>
      <c r="M65" s="16"/>
      <c r="N65" s="16"/>
      <c r="O65" s="16"/>
      <c r="P65" s="16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28" t="s">
        <v>179</v>
      </c>
      <c r="AU65" s="15"/>
      <c r="AV65" s="22"/>
      <c r="AW65" s="22"/>
      <c r="AX65" s="22"/>
      <c r="AY65" s="22"/>
      <c r="AZ65" s="22"/>
      <c r="BA65" s="22"/>
      <c r="BB65" s="22"/>
    </row>
    <row r="66" spans="1:54" ht="15" hidden="1" customHeight="1" x14ac:dyDescent="0.3"/>
    <row r="67" spans="1:54" x14ac:dyDescent="0.3">
      <c r="G67" s="10">
        <f>SUBTOTAL(9,G3:G65)</f>
        <v>44</v>
      </c>
      <c r="H67" s="10">
        <f>SUBTOTAL(9,H3:H65)</f>
        <v>39</v>
      </c>
      <c r="P67" s="35" t="s">
        <v>260</v>
      </c>
      <c r="AE67" s="34">
        <f t="shared" ref="AE67:AP67" si="4">SUBTOTAL(9,AE3:AE65)</f>
        <v>18000</v>
      </c>
      <c r="AF67" s="34">
        <f t="shared" si="4"/>
        <v>19500</v>
      </c>
      <c r="AG67" s="34">
        <f t="shared" si="4"/>
        <v>26250</v>
      </c>
      <c r="AH67" s="34">
        <f t="shared" si="4"/>
        <v>27187.5</v>
      </c>
      <c r="AI67" s="34">
        <f t="shared" si="4"/>
        <v>38175</v>
      </c>
      <c r="AJ67" s="34">
        <f t="shared" si="4"/>
        <v>20975</v>
      </c>
      <c r="AK67" s="34">
        <f t="shared" si="4"/>
        <v>34475</v>
      </c>
      <c r="AL67" s="34">
        <f t="shared" si="4"/>
        <v>34237.5</v>
      </c>
      <c r="AM67" s="34">
        <f t="shared" si="4"/>
        <v>12800</v>
      </c>
      <c r="AN67" s="34">
        <f t="shared" si="4"/>
        <v>7400</v>
      </c>
      <c r="AO67" s="34">
        <f t="shared" si="4"/>
        <v>5000</v>
      </c>
      <c r="AP67" s="34">
        <f t="shared" si="4"/>
        <v>0</v>
      </c>
      <c r="AR67" s="66">
        <f>SUBTOTAL(9,AR3:AR65)</f>
        <v>256000</v>
      </c>
    </row>
    <row r="68" spans="1:54" x14ac:dyDescent="0.3">
      <c r="P68" s="35" t="s">
        <v>258</v>
      </c>
      <c r="AE68" s="34">
        <f>AE67*18%</f>
        <v>3240</v>
      </c>
      <c r="AF68" s="34">
        <f t="shared" ref="AF68:AR68" si="5">AF67*18%</f>
        <v>3510</v>
      </c>
      <c r="AG68" s="34">
        <f t="shared" si="5"/>
        <v>4725</v>
      </c>
      <c r="AH68" s="34">
        <f t="shared" si="5"/>
        <v>4893.75</v>
      </c>
      <c r="AI68" s="34">
        <f t="shared" si="5"/>
        <v>6871.5</v>
      </c>
      <c r="AJ68" s="34">
        <f t="shared" si="5"/>
        <v>3775.5</v>
      </c>
      <c r="AK68" s="34">
        <f t="shared" si="5"/>
        <v>6205.5</v>
      </c>
      <c r="AL68" s="34">
        <f t="shared" si="5"/>
        <v>6162.75</v>
      </c>
      <c r="AM68" s="34">
        <f t="shared" si="5"/>
        <v>2304</v>
      </c>
      <c r="AN68" s="34">
        <f t="shared" si="5"/>
        <v>1332</v>
      </c>
      <c r="AO68" s="34">
        <f t="shared" si="5"/>
        <v>900</v>
      </c>
      <c r="AP68" s="34">
        <f t="shared" si="5"/>
        <v>0</v>
      </c>
      <c r="AR68" s="34">
        <f t="shared" si="5"/>
        <v>46080</v>
      </c>
    </row>
    <row r="69" spans="1:54" x14ac:dyDescent="0.3">
      <c r="P69" s="35" t="s">
        <v>259</v>
      </c>
      <c r="AE69" s="34">
        <f>AE67+AE68</f>
        <v>21240</v>
      </c>
      <c r="AF69" s="34">
        <f t="shared" ref="AF69:AR69" si="6">AF67+AF68</f>
        <v>23010</v>
      </c>
      <c r="AG69" s="34">
        <f t="shared" si="6"/>
        <v>30975</v>
      </c>
      <c r="AH69" s="34">
        <f t="shared" si="6"/>
        <v>32081.25</v>
      </c>
      <c r="AI69" s="34">
        <f t="shared" si="6"/>
        <v>45046.5</v>
      </c>
      <c r="AJ69" s="34">
        <f t="shared" si="6"/>
        <v>24750.5</v>
      </c>
      <c r="AK69" s="34">
        <f t="shared" si="6"/>
        <v>40680.5</v>
      </c>
      <c r="AL69" s="34">
        <f t="shared" si="6"/>
        <v>40400.25</v>
      </c>
      <c r="AM69" s="34">
        <f t="shared" si="6"/>
        <v>15104</v>
      </c>
      <c r="AN69" s="34">
        <f t="shared" si="6"/>
        <v>8732</v>
      </c>
      <c r="AO69" s="34">
        <f t="shared" si="6"/>
        <v>5900</v>
      </c>
      <c r="AP69" s="34">
        <f t="shared" si="6"/>
        <v>0</v>
      </c>
      <c r="AR69" s="34">
        <f t="shared" si="6"/>
        <v>302080</v>
      </c>
    </row>
    <row r="72" spans="1:54" x14ac:dyDescent="0.3">
      <c r="A72" s="19"/>
      <c r="B72" s="19" t="s">
        <v>164</v>
      </c>
      <c r="C72" s="19" t="s">
        <v>70</v>
      </c>
      <c r="D72" s="19" t="s">
        <v>163</v>
      </c>
      <c r="I72" s="19" t="s">
        <v>165</v>
      </c>
      <c r="J72" s="19" t="s">
        <v>143</v>
      </c>
    </row>
    <row r="73" spans="1:54" ht="28.8" x14ac:dyDescent="0.3">
      <c r="A73" s="26"/>
      <c r="B73" s="26" t="s">
        <v>148</v>
      </c>
      <c r="C73" s="4" t="s">
        <v>153</v>
      </c>
      <c r="D73" s="15">
        <v>6</v>
      </c>
      <c r="I73" s="15" t="s">
        <v>166</v>
      </c>
      <c r="J73" s="15">
        <v>5</v>
      </c>
      <c r="AE73" s="19" t="s">
        <v>254</v>
      </c>
      <c r="AF73" s="19" t="s">
        <v>251</v>
      </c>
      <c r="AG73" s="19" t="s">
        <v>252</v>
      </c>
      <c r="AH73" s="19" t="s">
        <v>253</v>
      </c>
    </row>
    <row r="74" spans="1:54" ht="28.8" x14ac:dyDescent="0.3">
      <c r="A74" s="26"/>
      <c r="B74" s="26" t="s">
        <v>158</v>
      </c>
      <c r="C74" s="4" t="s">
        <v>162</v>
      </c>
      <c r="D74" s="15">
        <v>5</v>
      </c>
      <c r="I74" s="15" t="s">
        <v>167</v>
      </c>
      <c r="J74" s="15">
        <v>3</v>
      </c>
      <c r="AE74" s="15" t="s">
        <v>250</v>
      </c>
      <c r="AF74" s="32">
        <v>0.3</v>
      </c>
      <c r="AG74" s="15">
        <v>4</v>
      </c>
      <c r="AH74" s="33">
        <f>(1-AF74)/AG74</f>
        <v>0.17499999999999999</v>
      </c>
    </row>
    <row r="75" spans="1:54" x14ac:dyDescent="0.3">
      <c r="A75" s="26"/>
      <c r="B75" s="26" t="s">
        <v>119</v>
      </c>
      <c r="C75" s="4" t="s">
        <v>161</v>
      </c>
      <c r="D75" s="15">
        <v>4</v>
      </c>
      <c r="I75" s="15" t="s">
        <v>168</v>
      </c>
      <c r="J75" s="15">
        <v>1</v>
      </c>
      <c r="AE75" s="15" t="s">
        <v>256</v>
      </c>
      <c r="AF75" s="32">
        <v>0.4</v>
      </c>
      <c r="AG75" s="15">
        <v>3</v>
      </c>
      <c r="AH75" s="33">
        <f>(1-AF75)/AG75</f>
        <v>0.19999999999999998</v>
      </c>
    </row>
    <row r="76" spans="1:54" ht="43.2" x14ac:dyDescent="0.3">
      <c r="A76" s="26"/>
      <c r="B76" s="26" t="s">
        <v>155</v>
      </c>
      <c r="C76" s="4" t="s">
        <v>169</v>
      </c>
      <c r="D76" s="15">
        <v>3</v>
      </c>
      <c r="AE76" s="15" t="s">
        <v>257</v>
      </c>
      <c r="AF76" s="32">
        <v>0.5</v>
      </c>
      <c r="AG76" s="15">
        <v>2</v>
      </c>
      <c r="AH76" s="33">
        <f>(1-AF76)/AG76</f>
        <v>0.25</v>
      </c>
    </row>
    <row r="77" spans="1:54" x14ac:dyDescent="0.3">
      <c r="A77" s="26"/>
      <c r="B77" s="26" t="s">
        <v>149</v>
      </c>
      <c r="C77" s="4" t="s">
        <v>160</v>
      </c>
      <c r="D77" s="15">
        <v>2</v>
      </c>
      <c r="AE77" s="15" t="s">
        <v>255</v>
      </c>
      <c r="AF77" s="32">
        <v>1</v>
      </c>
      <c r="AG77" s="15">
        <v>0</v>
      </c>
      <c r="AH77" s="33">
        <v>0</v>
      </c>
    </row>
    <row r="78" spans="1:54" x14ac:dyDescent="0.3">
      <c r="A78" s="26"/>
      <c r="B78" s="26" t="s">
        <v>157</v>
      </c>
      <c r="C78" s="4" t="s">
        <v>159</v>
      </c>
      <c r="D78" s="15">
        <v>1</v>
      </c>
    </row>
    <row r="81" spans="1:54" x14ac:dyDescent="0.3">
      <c r="A81" s="4"/>
      <c r="B81" s="4" t="s">
        <v>1</v>
      </c>
      <c r="C81" s="4"/>
      <c r="D81" s="15" t="s">
        <v>27</v>
      </c>
      <c r="E81" s="15"/>
      <c r="F81" s="15" t="s">
        <v>138</v>
      </c>
      <c r="G81" s="15">
        <f t="shared" ref="G81:G87" si="7">IF(F81="S",1,IF(F81="M",2,IF(F81="L",4,0)))</f>
        <v>2</v>
      </c>
      <c r="H81" s="15"/>
      <c r="I81" s="15" t="s">
        <v>127</v>
      </c>
      <c r="J81" s="15" t="s">
        <v>127</v>
      </c>
      <c r="K81" s="15" t="s">
        <v>68</v>
      </c>
      <c r="L81" s="16"/>
      <c r="M81" s="16"/>
      <c r="N81" s="16"/>
      <c r="O81" s="16"/>
      <c r="P81" s="16" t="s">
        <v>115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>
        <v>4000</v>
      </c>
      <c r="AS81" s="7"/>
      <c r="AT81" s="15">
        <v>2024</v>
      </c>
      <c r="AU81" s="15"/>
      <c r="AV81" s="22"/>
      <c r="AW81" s="22"/>
      <c r="AX81" s="22"/>
      <c r="AY81" s="22"/>
      <c r="AZ81" s="22"/>
      <c r="BA81" s="22"/>
      <c r="BB81" s="22">
        <f t="shared" ref="BB81:BB87" si="8">AV81*$AV$1+AZ81*$AZ$1+AX81*$AX$1+AY81*$AY$1+AW81*$AW$1+BA81*$BA$1</f>
        <v>0</v>
      </c>
    </row>
    <row r="82" spans="1:54" ht="28.8" x14ac:dyDescent="0.3">
      <c r="A82" s="4"/>
      <c r="B82" s="4" t="s">
        <v>150</v>
      </c>
      <c r="C82" s="4"/>
      <c r="D82" s="15" t="s">
        <v>27</v>
      </c>
      <c r="E82" s="15"/>
      <c r="F82" s="15"/>
      <c r="G82" s="15">
        <f t="shared" si="7"/>
        <v>0</v>
      </c>
      <c r="H82" s="15"/>
      <c r="I82" s="15" t="s">
        <v>127</v>
      </c>
      <c r="J82" s="15" t="s">
        <v>127</v>
      </c>
      <c r="K82" s="15" t="s">
        <v>68</v>
      </c>
      <c r="L82" s="16"/>
      <c r="M82" s="16"/>
      <c r="N82" s="16"/>
      <c r="O82" s="16"/>
      <c r="P82" s="16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>
        <v>12000</v>
      </c>
      <c r="AS82" s="7"/>
      <c r="AT82" s="15">
        <v>2023</v>
      </c>
      <c r="AU82" s="15"/>
      <c r="AV82" s="22"/>
      <c r="AW82" s="22"/>
      <c r="AX82" s="22"/>
      <c r="AY82" s="22"/>
      <c r="AZ82" s="22"/>
      <c r="BA82" s="22"/>
      <c r="BB82" s="22">
        <f t="shared" si="8"/>
        <v>0</v>
      </c>
    </row>
    <row r="83" spans="1:54" ht="28.8" x14ac:dyDescent="0.3">
      <c r="A83" s="4"/>
      <c r="B83" s="4" t="s">
        <v>10</v>
      </c>
      <c r="C83" s="4"/>
      <c r="D83" s="15" t="s">
        <v>27</v>
      </c>
      <c r="E83" s="15"/>
      <c r="F83" s="15" t="s">
        <v>138</v>
      </c>
      <c r="G83" s="15">
        <f t="shared" si="7"/>
        <v>2</v>
      </c>
      <c r="H83" s="15"/>
      <c r="I83" s="15" t="s">
        <v>127</v>
      </c>
      <c r="J83" s="15" t="s">
        <v>69</v>
      </c>
      <c r="K83" s="15" t="s">
        <v>68</v>
      </c>
      <c r="L83" s="16" t="s">
        <v>115</v>
      </c>
      <c r="M83" s="16" t="s">
        <v>115</v>
      </c>
      <c r="N83" s="16"/>
      <c r="O83" s="16"/>
      <c r="P83" s="16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>
        <v>0</v>
      </c>
      <c r="AS83" s="7"/>
      <c r="AT83" s="15">
        <v>2024</v>
      </c>
      <c r="AU83" s="15"/>
      <c r="AV83" s="22"/>
      <c r="AW83" s="22"/>
      <c r="AX83" s="22"/>
      <c r="AY83" s="22"/>
      <c r="AZ83" s="22"/>
      <c r="BA83" s="22"/>
      <c r="BB83" s="22">
        <f t="shared" si="8"/>
        <v>0</v>
      </c>
    </row>
    <row r="84" spans="1:54" x14ac:dyDescent="0.3">
      <c r="A84" s="4"/>
      <c r="B84" s="4" t="s">
        <v>124</v>
      </c>
      <c r="C84" s="4"/>
      <c r="D84" s="15" t="s">
        <v>27</v>
      </c>
      <c r="E84" s="15"/>
      <c r="F84" s="15"/>
      <c r="G84" s="15">
        <f t="shared" si="7"/>
        <v>0</v>
      </c>
      <c r="H84" s="15"/>
      <c r="I84" s="15" t="s">
        <v>127</v>
      </c>
      <c r="J84" s="15" t="s">
        <v>127</v>
      </c>
      <c r="K84" s="15" t="s">
        <v>68</v>
      </c>
      <c r="L84" s="16"/>
      <c r="M84" s="16"/>
      <c r="N84" s="16"/>
      <c r="O84" s="16"/>
      <c r="P84" s="16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>
        <v>13200</v>
      </c>
      <c r="AS84" s="7"/>
      <c r="AT84" s="15">
        <v>2023</v>
      </c>
      <c r="AU84" s="15"/>
      <c r="AV84" s="22"/>
      <c r="AW84" s="22"/>
      <c r="AX84" s="22"/>
      <c r="AY84" s="22"/>
      <c r="AZ84" s="22"/>
      <c r="BA84" s="22"/>
      <c r="BB84" s="22">
        <f t="shared" si="8"/>
        <v>0</v>
      </c>
    </row>
    <row r="85" spans="1:54" x14ac:dyDescent="0.3">
      <c r="A85" s="4"/>
      <c r="B85" s="4" t="s">
        <v>124</v>
      </c>
      <c r="C85" s="4"/>
      <c r="D85" s="15" t="s">
        <v>27</v>
      </c>
      <c r="E85" s="15"/>
      <c r="F85" s="15"/>
      <c r="G85" s="15">
        <f t="shared" si="7"/>
        <v>0</v>
      </c>
      <c r="H85" s="15"/>
      <c r="I85" s="15" t="s">
        <v>127</v>
      </c>
      <c r="J85" s="15" t="s">
        <v>127</v>
      </c>
      <c r="K85" s="15" t="s">
        <v>68</v>
      </c>
      <c r="L85" s="16"/>
      <c r="M85" s="16"/>
      <c r="N85" s="16"/>
      <c r="O85" s="16"/>
      <c r="P85" s="16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>
        <v>13200</v>
      </c>
      <c r="AS85" s="7"/>
      <c r="AT85" s="15">
        <v>2023</v>
      </c>
      <c r="AU85" s="15"/>
      <c r="AV85" s="22"/>
      <c r="AW85" s="22"/>
      <c r="AX85" s="22"/>
      <c r="AY85" s="22"/>
      <c r="AZ85" s="22"/>
      <c r="BA85" s="22"/>
      <c r="BB85" s="22">
        <f t="shared" si="8"/>
        <v>0</v>
      </c>
    </row>
    <row r="86" spans="1:54" x14ac:dyDescent="0.3">
      <c r="A86" s="4"/>
      <c r="B86" s="4" t="s">
        <v>125</v>
      </c>
      <c r="C86" s="4"/>
      <c r="D86" s="15" t="s">
        <v>27</v>
      </c>
      <c r="E86" s="15"/>
      <c r="F86" s="15"/>
      <c r="G86" s="15">
        <f t="shared" si="7"/>
        <v>0</v>
      </c>
      <c r="H86" s="15"/>
      <c r="I86" s="15" t="s">
        <v>127</v>
      </c>
      <c r="J86" s="15" t="s">
        <v>127</v>
      </c>
      <c r="K86" s="15" t="s">
        <v>68</v>
      </c>
      <c r="L86" s="16"/>
      <c r="M86" s="16"/>
      <c r="N86" s="16"/>
      <c r="O86" s="16"/>
      <c r="P86" s="16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>
        <v>4560</v>
      </c>
      <c r="AS86" s="7"/>
      <c r="AT86" s="15">
        <v>2023</v>
      </c>
      <c r="AU86" s="15"/>
      <c r="AV86" s="22"/>
      <c r="AW86" s="22"/>
      <c r="AX86" s="22"/>
      <c r="AY86" s="22"/>
      <c r="AZ86" s="22"/>
      <c r="BA86" s="22"/>
      <c r="BB86" s="22">
        <f t="shared" si="8"/>
        <v>0</v>
      </c>
    </row>
    <row r="87" spans="1:54" x14ac:dyDescent="0.3">
      <c r="A87" s="4"/>
      <c r="B87" s="4" t="s">
        <v>126</v>
      </c>
      <c r="C87" s="4"/>
      <c r="D87" s="15" t="s">
        <v>27</v>
      </c>
      <c r="E87" s="15"/>
      <c r="F87" s="15"/>
      <c r="G87" s="15">
        <f t="shared" si="7"/>
        <v>0</v>
      </c>
      <c r="H87" s="15"/>
      <c r="I87" s="15" t="s">
        <v>127</v>
      </c>
      <c r="J87" s="15" t="s">
        <v>127</v>
      </c>
      <c r="K87" s="15" t="s">
        <v>68</v>
      </c>
      <c r="L87" s="16"/>
      <c r="M87" s="16"/>
      <c r="N87" s="16"/>
      <c r="O87" s="16"/>
      <c r="P87" s="16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>
        <v>7200</v>
      </c>
      <c r="AS87" s="7"/>
      <c r="AT87" s="15">
        <v>2023</v>
      </c>
      <c r="AU87" s="15"/>
      <c r="AV87" s="22"/>
      <c r="AW87" s="22"/>
      <c r="AX87" s="22"/>
      <c r="AY87" s="22"/>
      <c r="AZ87" s="22"/>
      <c r="BA87" s="22"/>
      <c r="BB87" s="22">
        <f t="shared" si="8"/>
        <v>0</v>
      </c>
    </row>
    <row r="90" spans="1:54" x14ac:dyDescent="0.3">
      <c r="B90" s="6" t="s">
        <v>226</v>
      </c>
      <c r="C90" s="6" t="s">
        <v>227</v>
      </c>
    </row>
    <row r="97" spans="39:41" x14ac:dyDescent="0.3">
      <c r="AM97" s="5" t="s">
        <v>180</v>
      </c>
    </row>
    <row r="98" spans="39:41" x14ac:dyDescent="0.3">
      <c r="AM98" s="5" t="s">
        <v>181</v>
      </c>
    </row>
    <row r="99" spans="39:41" x14ac:dyDescent="0.3">
      <c r="AM99" s="5" t="s">
        <v>182</v>
      </c>
      <c r="AO99" s="5" t="s">
        <v>183</v>
      </c>
    </row>
    <row r="100" spans="39:41" x14ac:dyDescent="0.3">
      <c r="AM100" s="5" t="s">
        <v>184</v>
      </c>
      <c r="AO100" s="5" t="s">
        <v>185</v>
      </c>
    </row>
  </sheetData>
  <autoFilter ref="A2:BY63" xr:uid="{E3859075-1CC5-452A-B76D-5474E4C6D25B}">
    <filterColumn colId="45">
      <filters blank="1">
        <filter val="2023"/>
      </filters>
    </filterColumn>
  </autoFilter>
  <mergeCells count="3">
    <mergeCell ref="D1:E1"/>
    <mergeCell ref="F1:H1"/>
    <mergeCell ref="L1:P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734F-345E-47D3-99D7-26103FFD140E}">
  <sheetPr>
    <tabColor rgb="FFFFFF00"/>
  </sheetPr>
  <dimension ref="A1:CC46"/>
  <sheetViews>
    <sheetView showGridLines="0" zoomScaleNormal="100" workbookViewId="0">
      <pane xSplit="22" ySplit="3" topLeftCell="W4" activePane="bottomRight" state="frozen"/>
      <selection pane="topRight" activeCell="W1" sqref="W1"/>
      <selection pane="bottomLeft" activeCell="A4" sqref="A4"/>
      <selection pane="bottomRight" activeCell="F2" sqref="F2:F3"/>
    </sheetView>
  </sheetViews>
  <sheetFormatPr baseColWidth="10" defaultColWidth="0" defaultRowHeight="14.4" x14ac:dyDescent="0.3"/>
  <cols>
    <col min="1" max="1" width="3" style="5" bestFit="1" customWidth="1"/>
    <col min="2" max="2" width="3" style="5" customWidth="1"/>
    <col min="3" max="3" width="44.44140625" style="5" customWidth="1"/>
    <col min="4" max="5" width="14.6640625" style="13" hidden="1" customWidth="1"/>
    <col min="6" max="8" width="3.6640625" style="13" hidden="1" customWidth="1"/>
    <col min="9" max="10" width="11.6640625" style="13" hidden="1" customWidth="1"/>
    <col min="11" max="15" width="3.6640625" style="13" hidden="1" customWidth="1"/>
    <col min="16" max="22" width="3.33203125" style="13" customWidth="1"/>
    <col min="23" max="28" width="2.6640625" style="13" customWidth="1"/>
    <col min="29" max="78" width="2.6640625" style="5" customWidth="1"/>
    <col min="79" max="80" width="14.109375" style="13" customWidth="1"/>
    <col min="81" max="81" width="11.44140625" style="5" customWidth="1"/>
    <col min="82" max="16384" width="11.44140625" style="5" hidden="1"/>
  </cols>
  <sheetData>
    <row r="1" spans="1:80" ht="15" customHeight="1" x14ac:dyDescent="0.3">
      <c r="F1" s="187" t="s">
        <v>144</v>
      </c>
      <c r="G1" s="187"/>
      <c r="H1" s="187"/>
      <c r="K1" s="188" t="s">
        <v>116</v>
      </c>
      <c r="L1" s="188"/>
      <c r="M1" s="188"/>
      <c r="N1" s="188"/>
      <c r="O1" s="188"/>
      <c r="P1" s="193" t="s">
        <v>262</v>
      </c>
      <c r="Q1" s="193" t="s">
        <v>263</v>
      </c>
      <c r="R1" s="193" t="s">
        <v>292</v>
      </c>
      <c r="S1" s="193" t="s">
        <v>264</v>
      </c>
      <c r="T1" s="193" t="s">
        <v>265</v>
      </c>
      <c r="U1" s="193" t="s">
        <v>266</v>
      </c>
      <c r="V1" s="194" t="s">
        <v>65</v>
      </c>
      <c r="W1" s="195">
        <v>2022</v>
      </c>
      <c r="X1" s="195"/>
      <c r="Y1" s="195"/>
      <c r="Z1" s="195"/>
      <c r="AA1" s="195"/>
      <c r="AB1" s="195"/>
      <c r="AC1" s="195" t="s">
        <v>293</v>
      </c>
      <c r="AD1" s="196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 t="s">
        <v>294</v>
      </c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 t="s">
        <v>295</v>
      </c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 t="s">
        <v>296</v>
      </c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>
        <v>2024</v>
      </c>
      <c r="BZ1" s="195"/>
    </row>
    <row r="2" spans="1:80" x14ac:dyDescent="0.3">
      <c r="D2" s="187" t="s">
        <v>104</v>
      </c>
      <c r="E2" s="187"/>
      <c r="F2" s="203" t="s">
        <v>137</v>
      </c>
      <c r="G2" s="203" t="s">
        <v>143</v>
      </c>
      <c r="H2" s="203" t="s">
        <v>156</v>
      </c>
      <c r="K2" s="204" t="s">
        <v>82</v>
      </c>
      <c r="L2" s="204" t="s">
        <v>76</v>
      </c>
      <c r="M2" s="204" t="s">
        <v>154</v>
      </c>
      <c r="N2" s="204" t="s">
        <v>130</v>
      </c>
      <c r="O2" s="204" t="s">
        <v>117</v>
      </c>
      <c r="P2" s="193"/>
      <c r="Q2" s="193"/>
      <c r="R2" s="193"/>
      <c r="S2" s="193"/>
      <c r="T2" s="193"/>
      <c r="U2" s="193"/>
      <c r="V2" s="194"/>
      <c r="W2" s="197" t="s">
        <v>278</v>
      </c>
      <c r="X2" s="198"/>
      <c r="Y2" s="199" t="s">
        <v>267</v>
      </c>
      <c r="Z2" s="200"/>
      <c r="AA2" s="200"/>
      <c r="AB2" s="201"/>
      <c r="AC2" s="202" t="s">
        <v>268</v>
      </c>
      <c r="AD2" s="202"/>
      <c r="AE2" s="202"/>
      <c r="AF2" s="202"/>
      <c r="AG2" s="195" t="s">
        <v>269</v>
      </c>
      <c r="AH2" s="195"/>
      <c r="AI2" s="195"/>
      <c r="AJ2" s="195"/>
      <c r="AK2" s="202" t="s">
        <v>270</v>
      </c>
      <c r="AL2" s="202"/>
      <c r="AM2" s="202"/>
      <c r="AN2" s="202"/>
      <c r="AO2" s="195" t="s">
        <v>271</v>
      </c>
      <c r="AP2" s="195"/>
      <c r="AQ2" s="195"/>
      <c r="AR2" s="195"/>
      <c r="AS2" s="202" t="s">
        <v>272</v>
      </c>
      <c r="AT2" s="202"/>
      <c r="AU2" s="202"/>
      <c r="AV2" s="202"/>
      <c r="AW2" s="195" t="s">
        <v>273</v>
      </c>
      <c r="AX2" s="195"/>
      <c r="AY2" s="195"/>
      <c r="AZ2" s="195"/>
      <c r="BA2" s="202" t="s">
        <v>274</v>
      </c>
      <c r="BB2" s="202"/>
      <c r="BC2" s="202"/>
      <c r="BD2" s="202"/>
      <c r="BE2" s="195" t="s">
        <v>275</v>
      </c>
      <c r="BF2" s="195"/>
      <c r="BG2" s="195"/>
      <c r="BH2" s="195"/>
      <c r="BI2" s="202" t="s">
        <v>276</v>
      </c>
      <c r="BJ2" s="202"/>
      <c r="BK2" s="202"/>
      <c r="BL2" s="202"/>
      <c r="BM2" s="195" t="s">
        <v>277</v>
      </c>
      <c r="BN2" s="195"/>
      <c r="BO2" s="195"/>
      <c r="BP2" s="195"/>
      <c r="BQ2" s="202" t="s">
        <v>278</v>
      </c>
      <c r="BR2" s="202"/>
      <c r="BS2" s="202"/>
      <c r="BT2" s="202"/>
      <c r="BU2" s="195" t="s">
        <v>267</v>
      </c>
      <c r="BV2" s="195"/>
      <c r="BW2" s="195"/>
      <c r="BX2" s="195"/>
      <c r="BY2" s="197" t="s">
        <v>268</v>
      </c>
      <c r="BZ2" s="198"/>
    </row>
    <row r="3" spans="1:80" s="13" customFormat="1" ht="15" customHeight="1" x14ac:dyDescent="0.3">
      <c r="A3" s="10" t="s">
        <v>279</v>
      </c>
      <c r="B3" s="10" t="s">
        <v>298</v>
      </c>
      <c r="C3" s="10" t="s">
        <v>62</v>
      </c>
      <c r="D3" s="10" t="s">
        <v>105</v>
      </c>
      <c r="E3" s="10" t="s">
        <v>106</v>
      </c>
      <c r="F3" s="203"/>
      <c r="G3" s="203"/>
      <c r="H3" s="203"/>
      <c r="I3" s="14" t="s">
        <v>114</v>
      </c>
      <c r="J3" s="10" t="s">
        <v>51</v>
      </c>
      <c r="K3" s="204"/>
      <c r="L3" s="204"/>
      <c r="M3" s="204"/>
      <c r="N3" s="204"/>
      <c r="O3" s="204"/>
      <c r="P3" s="193"/>
      <c r="Q3" s="193"/>
      <c r="R3" s="193"/>
      <c r="S3" s="193"/>
      <c r="T3" s="193"/>
      <c r="U3" s="193"/>
      <c r="V3" s="194"/>
      <c r="W3" s="41">
        <v>3</v>
      </c>
      <c r="X3" s="41">
        <v>4</v>
      </c>
      <c r="Y3" s="36">
        <v>1</v>
      </c>
      <c r="Z3" s="36">
        <f>Y3+1</f>
        <v>2</v>
      </c>
      <c r="AA3" s="65">
        <f>Z3+1</f>
        <v>3</v>
      </c>
      <c r="AB3" s="65">
        <f>AA3+1</f>
        <v>4</v>
      </c>
      <c r="AC3" s="41">
        <v>1</v>
      </c>
      <c r="AD3" s="41">
        <f>AC3+1</f>
        <v>2</v>
      </c>
      <c r="AE3" s="65">
        <f>AD3+1</f>
        <v>3</v>
      </c>
      <c r="AF3" s="41">
        <f>AE3+1</f>
        <v>4</v>
      </c>
      <c r="AG3" s="36">
        <v>1</v>
      </c>
      <c r="AH3" s="36">
        <f>AG3+1</f>
        <v>2</v>
      </c>
      <c r="AI3" s="36">
        <f>AH3+1</f>
        <v>3</v>
      </c>
      <c r="AJ3" s="36">
        <f>AI3+1</f>
        <v>4</v>
      </c>
      <c r="AK3" s="41">
        <v>1</v>
      </c>
      <c r="AL3" s="41">
        <f>AK3+1</f>
        <v>2</v>
      </c>
      <c r="AM3" s="41">
        <f>AL3+1</f>
        <v>3</v>
      </c>
      <c r="AN3" s="41">
        <f>AM3+1</f>
        <v>4</v>
      </c>
      <c r="AO3" s="36">
        <v>1</v>
      </c>
      <c r="AP3" s="36">
        <f>AO3+1</f>
        <v>2</v>
      </c>
      <c r="AQ3" s="36">
        <f>AP3+1</f>
        <v>3</v>
      </c>
      <c r="AR3" s="36">
        <f>AQ3+1</f>
        <v>4</v>
      </c>
      <c r="AS3" s="41">
        <v>1</v>
      </c>
      <c r="AT3" s="41">
        <f>AS3+1</f>
        <v>2</v>
      </c>
      <c r="AU3" s="41">
        <f>AT3+1</f>
        <v>3</v>
      </c>
      <c r="AV3" s="41">
        <f>AU3+1</f>
        <v>4</v>
      </c>
      <c r="AW3" s="36">
        <v>1</v>
      </c>
      <c r="AX3" s="36">
        <f>AW3+1</f>
        <v>2</v>
      </c>
      <c r="AY3" s="36">
        <f>AX3+1</f>
        <v>3</v>
      </c>
      <c r="AZ3" s="36">
        <f>AY3+1</f>
        <v>4</v>
      </c>
      <c r="BA3" s="41">
        <v>1</v>
      </c>
      <c r="BB3" s="41">
        <f>BA3+1</f>
        <v>2</v>
      </c>
      <c r="BC3" s="41">
        <f>BB3+1</f>
        <v>3</v>
      </c>
      <c r="BD3" s="41">
        <f>BC3+1</f>
        <v>4</v>
      </c>
      <c r="BE3" s="36">
        <v>1</v>
      </c>
      <c r="BF3" s="36">
        <f>BE3+1</f>
        <v>2</v>
      </c>
      <c r="BG3" s="36">
        <f>BF3+1</f>
        <v>3</v>
      </c>
      <c r="BH3" s="36">
        <f>BG3+1</f>
        <v>4</v>
      </c>
      <c r="BI3" s="41">
        <v>1</v>
      </c>
      <c r="BJ3" s="41">
        <f>BI3+1</f>
        <v>2</v>
      </c>
      <c r="BK3" s="41">
        <f>BJ3+1</f>
        <v>3</v>
      </c>
      <c r="BL3" s="41">
        <f>BK3+1</f>
        <v>4</v>
      </c>
      <c r="BM3" s="36">
        <v>1</v>
      </c>
      <c r="BN3" s="36">
        <f>BM3+1</f>
        <v>2</v>
      </c>
      <c r="BO3" s="36">
        <f>BN3+1</f>
        <v>3</v>
      </c>
      <c r="BP3" s="36">
        <f>BO3+1</f>
        <v>4</v>
      </c>
      <c r="BQ3" s="41">
        <v>1</v>
      </c>
      <c r="BR3" s="41">
        <f>BQ3+1</f>
        <v>2</v>
      </c>
      <c r="BS3" s="41">
        <f>BR3+1</f>
        <v>3</v>
      </c>
      <c r="BT3" s="41">
        <f>BS3+1</f>
        <v>4</v>
      </c>
      <c r="BU3" s="36">
        <v>1</v>
      </c>
      <c r="BV3" s="36">
        <f>BU3+1</f>
        <v>2</v>
      </c>
      <c r="BW3" s="36">
        <f>BV3+1</f>
        <v>3</v>
      </c>
      <c r="BX3" s="36">
        <f>BW3+1</f>
        <v>4</v>
      </c>
      <c r="BY3" s="41">
        <v>1</v>
      </c>
      <c r="BZ3" s="41">
        <f>BY3+1</f>
        <v>2</v>
      </c>
      <c r="CA3" s="15" t="s">
        <v>280</v>
      </c>
      <c r="CB3" s="15" t="s">
        <v>281</v>
      </c>
    </row>
    <row r="4" spans="1:80" x14ac:dyDescent="0.3">
      <c r="A4" s="15"/>
      <c r="B4" s="15"/>
      <c r="C4" s="4" t="s">
        <v>135</v>
      </c>
      <c r="D4" s="15"/>
      <c r="E4" s="15"/>
      <c r="F4" s="15"/>
      <c r="G4" s="15"/>
      <c r="H4" s="15"/>
      <c r="I4" s="15"/>
      <c r="J4" s="15"/>
      <c r="K4" s="16"/>
      <c r="L4" s="16"/>
      <c r="M4" s="16"/>
      <c r="N4" s="16"/>
      <c r="O4" s="16"/>
      <c r="P4" s="37"/>
      <c r="Q4" s="37">
        <f t="shared" ref="Q4:Q26" si="0">IF(COUNTIF($W4:$BZ4,"A")=0,"",COUNTIF($W4:$BZ4,"A"))</f>
        <v>5</v>
      </c>
      <c r="R4" s="37">
        <f t="shared" ref="R4:R26" si="1">IF(COUNTIF($W4:$BZ4,"C")=0,"",COUNTIF($W4:$BZ4,"C"))</f>
        <v>2</v>
      </c>
      <c r="S4" s="37">
        <f t="shared" ref="S4:S26" si="2">IF(COUNTIF($W4:$BZ4,"D")=0,"",COUNTIF($W4:$BZ4,"D"))</f>
        <v>9</v>
      </c>
      <c r="T4" s="37">
        <f t="shared" ref="T4:T26" si="3">IF(COUNTIF($W4:$BZ4,"P")=0,"",COUNTIF($W4:$BZ4,"P"))</f>
        <v>5</v>
      </c>
      <c r="U4" s="37">
        <f t="shared" ref="U4:U26" si="4">IF(COUNTIF($W4:$BZ4,"R")=0,"",COUNTIF($W4:$BZ4,"R"))</f>
        <v>5</v>
      </c>
      <c r="V4" s="43">
        <f t="shared" ref="V4:V28" si="5">IF(SUM(P4:U4)=0,"",SUM(P4:U4))</f>
        <v>26</v>
      </c>
      <c r="W4" s="22"/>
      <c r="X4" s="22" t="s">
        <v>284</v>
      </c>
      <c r="Y4" s="15" t="s">
        <v>284</v>
      </c>
      <c r="Z4" s="15" t="s">
        <v>284</v>
      </c>
      <c r="AA4" s="63"/>
      <c r="AB4" s="63"/>
      <c r="AC4" s="22" t="s">
        <v>284</v>
      </c>
      <c r="AD4" s="22" t="s">
        <v>284</v>
      </c>
      <c r="AE4" s="63"/>
      <c r="AF4" s="22" t="s">
        <v>297</v>
      </c>
      <c r="AG4" s="15" t="s">
        <v>297</v>
      </c>
      <c r="AH4" s="15" t="s">
        <v>282</v>
      </c>
      <c r="AI4" s="15" t="s">
        <v>282</v>
      </c>
      <c r="AJ4" s="15" t="s">
        <v>282</v>
      </c>
      <c r="AK4" s="22" t="s">
        <v>282</v>
      </c>
      <c r="AL4" s="22" t="s">
        <v>282</v>
      </c>
      <c r="AM4" s="22" t="s">
        <v>282</v>
      </c>
      <c r="AN4" s="22" t="s">
        <v>282</v>
      </c>
      <c r="AO4" s="15" t="s">
        <v>282</v>
      </c>
      <c r="AP4" s="15" t="s">
        <v>282</v>
      </c>
      <c r="AQ4" s="15" t="s">
        <v>283</v>
      </c>
      <c r="AR4" s="15" t="s">
        <v>283</v>
      </c>
      <c r="AS4" s="22" t="s">
        <v>283</v>
      </c>
      <c r="AT4" s="22" t="s">
        <v>283</v>
      </c>
      <c r="AU4" s="22" t="s">
        <v>283</v>
      </c>
      <c r="AV4" s="22" t="s">
        <v>170</v>
      </c>
      <c r="AW4" s="15" t="s">
        <v>170</v>
      </c>
      <c r="AX4" s="15" t="s">
        <v>170</v>
      </c>
      <c r="AY4" s="15" t="s">
        <v>170</v>
      </c>
      <c r="AZ4" s="15" t="s">
        <v>170</v>
      </c>
      <c r="BA4" s="22"/>
      <c r="BB4" s="22"/>
      <c r="BC4" s="22"/>
      <c r="BD4" s="22"/>
      <c r="BE4" s="15"/>
      <c r="BF4" s="15"/>
      <c r="BG4" s="15"/>
      <c r="BH4" s="15"/>
      <c r="BI4" s="22"/>
      <c r="BJ4" s="22"/>
      <c r="BK4" s="22"/>
      <c r="BL4" s="22"/>
      <c r="BM4" s="15"/>
      <c r="BN4" s="15"/>
      <c r="BO4" s="15"/>
      <c r="BP4" s="15"/>
      <c r="BQ4" s="22"/>
      <c r="BR4" s="22"/>
      <c r="BS4" s="22"/>
      <c r="BT4" s="22"/>
      <c r="BU4" s="15"/>
      <c r="BV4" s="15"/>
      <c r="BW4" s="15"/>
      <c r="BX4" s="15"/>
      <c r="BY4" s="22"/>
      <c r="BZ4" s="22"/>
      <c r="CA4" s="15" t="s">
        <v>96</v>
      </c>
      <c r="CB4" s="15"/>
    </row>
    <row r="5" spans="1:80" x14ac:dyDescent="0.3">
      <c r="A5" s="15"/>
      <c r="B5" s="15"/>
      <c r="C5" s="4" t="s">
        <v>133</v>
      </c>
      <c r="D5" s="15"/>
      <c r="E5" s="15"/>
      <c r="F5" s="15"/>
      <c r="G5" s="15"/>
      <c r="H5" s="15"/>
      <c r="I5" s="15"/>
      <c r="J5" s="15"/>
      <c r="K5" s="16"/>
      <c r="L5" s="16"/>
      <c r="M5" s="16"/>
      <c r="N5" s="16"/>
      <c r="O5" s="16"/>
      <c r="P5" s="37"/>
      <c r="Q5" s="37">
        <f t="shared" si="0"/>
        <v>5</v>
      </c>
      <c r="R5" s="37">
        <f t="shared" si="1"/>
        <v>2</v>
      </c>
      <c r="S5" s="37">
        <f t="shared" si="2"/>
        <v>8</v>
      </c>
      <c r="T5" s="37">
        <f t="shared" si="3"/>
        <v>6</v>
      </c>
      <c r="U5" s="37">
        <f t="shared" si="4"/>
        <v>5</v>
      </c>
      <c r="V5" s="43">
        <f t="shared" si="5"/>
        <v>26</v>
      </c>
      <c r="W5" s="22"/>
      <c r="X5" s="22"/>
      <c r="Y5" s="15" t="s">
        <v>284</v>
      </c>
      <c r="Z5" s="15" t="s">
        <v>284</v>
      </c>
      <c r="AA5" s="63"/>
      <c r="AB5" s="63"/>
      <c r="AC5" s="22" t="s">
        <v>284</v>
      </c>
      <c r="AD5" s="22" t="s">
        <v>284</v>
      </c>
      <c r="AE5" s="63"/>
      <c r="AF5" s="22" t="s">
        <v>284</v>
      </c>
      <c r="AG5" s="15" t="s">
        <v>297</v>
      </c>
      <c r="AH5" s="15" t="s">
        <v>297</v>
      </c>
      <c r="AI5" s="15" t="s">
        <v>282</v>
      </c>
      <c r="AJ5" s="15" t="s">
        <v>282</v>
      </c>
      <c r="AK5" s="22" t="s">
        <v>282</v>
      </c>
      <c r="AL5" s="22" t="s">
        <v>282</v>
      </c>
      <c r="AM5" s="22" t="s">
        <v>282</v>
      </c>
      <c r="AN5" s="22" t="s">
        <v>282</v>
      </c>
      <c r="AO5" s="15" t="s">
        <v>282</v>
      </c>
      <c r="AP5" s="15" t="s">
        <v>282</v>
      </c>
      <c r="AQ5" s="15" t="s">
        <v>283</v>
      </c>
      <c r="AR5" s="15" t="s">
        <v>283</v>
      </c>
      <c r="AS5" s="22" t="s">
        <v>283</v>
      </c>
      <c r="AT5" s="22" t="s">
        <v>283</v>
      </c>
      <c r="AU5" s="22" t="s">
        <v>283</v>
      </c>
      <c r="AV5" s="22" t="s">
        <v>283</v>
      </c>
      <c r="AW5" s="15" t="s">
        <v>170</v>
      </c>
      <c r="AX5" s="15" t="s">
        <v>170</v>
      </c>
      <c r="AY5" s="15" t="s">
        <v>170</v>
      </c>
      <c r="AZ5" s="15" t="s">
        <v>170</v>
      </c>
      <c r="BA5" s="22" t="s">
        <v>170</v>
      </c>
      <c r="BB5" s="22"/>
      <c r="BC5" s="22"/>
      <c r="BD5" s="22"/>
      <c r="BE5" s="15"/>
      <c r="BF5" s="15"/>
      <c r="BG5" s="15"/>
      <c r="BH5" s="15"/>
      <c r="BI5" s="22"/>
      <c r="BJ5" s="22"/>
      <c r="BK5" s="22"/>
      <c r="BL5" s="22"/>
      <c r="BM5" s="15"/>
      <c r="BN5" s="15"/>
      <c r="BO5" s="15"/>
      <c r="BP5" s="15"/>
      <c r="BQ5" s="22"/>
      <c r="BR5" s="22"/>
      <c r="BS5" s="22"/>
      <c r="BT5" s="22"/>
      <c r="BU5" s="15"/>
      <c r="BV5" s="15"/>
      <c r="BW5" s="15"/>
      <c r="BX5" s="15"/>
      <c r="BY5" s="22"/>
      <c r="BZ5" s="22"/>
      <c r="CA5" s="15"/>
      <c r="CB5" s="15"/>
    </row>
    <row r="6" spans="1:80" x14ac:dyDescent="0.3">
      <c r="A6" s="15"/>
      <c r="B6" s="15"/>
      <c r="C6" s="67" t="s">
        <v>193</v>
      </c>
      <c r="D6" s="15" t="s">
        <v>21</v>
      </c>
      <c r="E6" s="15"/>
      <c r="F6" s="15" t="s">
        <v>139</v>
      </c>
      <c r="G6" s="15">
        <f>IF(F6="S",1,IF(F6="M",2,IF(F6="L",4,0)))</f>
        <v>4</v>
      </c>
      <c r="H6" s="15">
        <v>4</v>
      </c>
      <c r="I6" s="15" t="s">
        <v>134</v>
      </c>
      <c r="J6" s="15" t="s">
        <v>69</v>
      </c>
      <c r="K6" s="16" t="s">
        <v>115</v>
      </c>
      <c r="L6" s="16"/>
      <c r="M6" s="16"/>
      <c r="N6" s="16" t="s">
        <v>115</v>
      </c>
      <c r="O6" s="16"/>
      <c r="P6" s="37" t="str">
        <f>IF(COUNTIF($W6:$BX6,"F")=0,"",COUNTIF($W6:$BX6,"F"))</f>
        <v/>
      </c>
      <c r="Q6" s="37">
        <f t="shared" si="0"/>
        <v>3</v>
      </c>
      <c r="R6" s="37">
        <f t="shared" si="1"/>
        <v>2</v>
      </c>
      <c r="S6" s="37">
        <f t="shared" si="2"/>
        <v>2</v>
      </c>
      <c r="T6" s="37">
        <f t="shared" si="3"/>
        <v>2</v>
      </c>
      <c r="U6" s="37">
        <f t="shared" si="4"/>
        <v>2</v>
      </c>
      <c r="V6" s="43">
        <f>IF(SUM(P6:U6)=0,"",SUM(P6:U6))</f>
        <v>11</v>
      </c>
      <c r="W6" s="22"/>
      <c r="X6" s="22"/>
      <c r="Y6" s="15"/>
      <c r="Z6" s="15"/>
      <c r="AA6" s="63"/>
      <c r="AB6" s="63"/>
      <c r="AC6" s="22" t="s">
        <v>284</v>
      </c>
      <c r="AD6" s="22" t="s">
        <v>284</v>
      </c>
      <c r="AE6" s="63"/>
      <c r="AF6" s="22" t="s">
        <v>284</v>
      </c>
      <c r="AG6" s="15" t="s">
        <v>297</v>
      </c>
      <c r="AH6" s="15" t="s">
        <v>297</v>
      </c>
      <c r="AI6" s="15" t="s">
        <v>282</v>
      </c>
      <c r="AJ6" s="15" t="s">
        <v>282</v>
      </c>
      <c r="AK6" s="22" t="s">
        <v>283</v>
      </c>
      <c r="AL6" s="22" t="s">
        <v>283</v>
      </c>
      <c r="AM6" s="22" t="s">
        <v>170</v>
      </c>
      <c r="AN6" s="22" t="s">
        <v>170</v>
      </c>
      <c r="AO6" s="15"/>
      <c r="AP6" s="15"/>
      <c r="AQ6" s="15"/>
      <c r="AR6" s="15"/>
      <c r="AS6" s="22"/>
      <c r="AT6" s="22"/>
      <c r="AU6" s="22"/>
      <c r="AV6" s="22"/>
      <c r="AW6" s="15"/>
      <c r="AX6" s="15"/>
      <c r="AY6" s="15"/>
      <c r="AZ6" s="15"/>
      <c r="BA6" s="22"/>
      <c r="BB6" s="22"/>
      <c r="BC6" s="22"/>
      <c r="BD6" s="22"/>
      <c r="BE6" s="15"/>
      <c r="BF6" s="15"/>
      <c r="BG6" s="15"/>
      <c r="BH6" s="15"/>
      <c r="BI6" s="22"/>
      <c r="BJ6" s="22"/>
      <c r="BK6" s="22"/>
      <c r="BL6" s="22"/>
      <c r="BM6" s="15"/>
      <c r="BN6" s="15"/>
      <c r="BO6" s="15"/>
      <c r="BP6" s="15"/>
      <c r="BQ6" s="22"/>
      <c r="BR6" s="22"/>
      <c r="BS6" s="22"/>
      <c r="BT6" s="22"/>
      <c r="BU6" s="15"/>
      <c r="BV6" s="15"/>
      <c r="BW6" s="15"/>
      <c r="BX6" s="15"/>
      <c r="BY6" s="22"/>
      <c r="BZ6" s="22"/>
      <c r="CA6" s="15"/>
      <c r="CB6" s="15"/>
    </row>
    <row r="7" spans="1:80" x14ac:dyDescent="0.3">
      <c r="A7" s="15"/>
      <c r="B7" s="15"/>
      <c r="C7" s="4" t="s">
        <v>131</v>
      </c>
      <c r="D7" s="15" t="s">
        <v>15</v>
      </c>
      <c r="E7" s="15" t="s">
        <v>16</v>
      </c>
      <c r="F7" s="15" t="s">
        <v>138</v>
      </c>
      <c r="G7" s="15">
        <f>IF(F7="S",1,IF(F7="M",2,IF(F7="L",4,0)))</f>
        <v>2</v>
      </c>
      <c r="H7" s="15">
        <v>2</v>
      </c>
      <c r="I7" s="15" t="s">
        <v>113</v>
      </c>
      <c r="J7" s="15" t="s">
        <v>69</v>
      </c>
      <c r="K7" s="16" t="s">
        <v>115</v>
      </c>
      <c r="L7" s="16" t="s">
        <v>115</v>
      </c>
      <c r="M7" s="16"/>
      <c r="N7" s="16"/>
      <c r="O7" s="16"/>
      <c r="P7" s="37" t="str">
        <f>IF(COUNTIF($W7:$BX7,"F")=0,"",COUNTIF($W7:$BX7,"F"))</f>
        <v/>
      </c>
      <c r="Q7" s="37">
        <f t="shared" si="0"/>
        <v>3</v>
      </c>
      <c r="R7" s="37">
        <f t="shared" si="1"/>
        <v>2</v>
      </c>
      <c r="S7" s="37">
        <f t="shared" si="2"/>
        <v>4</v>
      </c>
      <c r="T7" s="37">
        <f t="shared" si="3"/>
        <v>4</v>
      </c>
      <c r="U7" s="37">
        <f t="shared" si="4"/>
        <v>4</v>
      </c>
      <c r="V7" s="43">
        <f t="shared" si="5"/>
        <v>17</v>
      </c>
      <c r="W7" s="22"/>
      <c r="X7" s="22"/>
      <c r="Y7" s="15"/>
      <c r="Z7" s="15"/>
      <c r="AA7" s="63"/>
      <c r="AB7" s="63"/>
      <c r="AC7" s="22" t="s">
        <v>284</v>
      </c>
      <c r="AD7" s="22" t="s">
        <v>284</v>
      </c>
      <c r="AE7" s="63"/>
      <c r="AF7" s="22" t="s">
        <v>284</v>
      </c>
      <c r="AG7" s="15" t="s">
        <v>297</v>
      </c>
      <c r="AH7" s="15" t="s">
        <v>297</v>
      </c>
      <c r="AI7" s="15" t="s">
        <v>282</v>
      </c>
      <c r="AJ7" s="15" t="s">
        <v>282</v>
      </c>
      <c r="AK7" s="22" t="s">
        <v>282</v>
      </c>
      <c r="AL7" s="22" t="s">
        <v>282</v>
      </c>
      <c r="AM7" s="22" t="s">
        <v>283</v>
      </c>
      <c r="AN7" s="22" t="s">
        <v>283</v>
      </c>
      <c r="AO7" s="15" t="s">
        <v>283</v>
      </c>
      <c r="AP7" s="15" t="s">
        <v>283</v>
      </c>
      <c r="AQ7" s="15" t="s">
        <v>170</v>
      </c>
      <c r="AR7" s="15" t="s">
        <v>170</v>
      </c>
      <c r="AS7" s="22" t="s">
        <v>170</v>
      </c>
      <c r="AT7" s="22" t="s">
        <v>170</v>
      </c>
      <c r="AU7" s="22"/>
      <c r="AV7" s="22"/>
      <c r="AW7" s="15"/>
      <c r="AX7" s="15"/>
      <c r="AY7" s="15"/>
      <c r="AZ7" s="15"/>
      <c r="BA7" s="22"/>
      <c r="BB7" s="22"/>
      <c r="BC7" s="22"/>
      <c r="BD7" s="22"/>
      <c r="BE7" s="15"/>
      <c r="BF7" s="15"/>
      <c r="BG7" s="15"/>
      <c r="BH7" s="15"/>
      <c r="BI7" s="22"/>
      <c r="BJ7" s="22"/>
      <c r="BK7" s="22"/>
      <c r="BL7" s="22"/>
      <c r="BM7" s="15"/>
      <c r="BN7" s="15"/>
      <c r="BO7" s="15"/>
      <c r="BP7" s="15"/>
      <c r="BQ7" s="22"/>
      <c r="BR7" s="22"/>
      <c r="BS7" s="22"/>
      <c r="BT7" s="22"/>
      <c r="BU7" s="15"/>
      <c r="BV7" s="15"/>
      <c r="BW7" s="15"/>
      <c r="BX7" s="15"/>
      <c r="BY7" s="22"/>
      <c r="BZ7" s="22"/>
      <c r="CA7" s="15"/>
      <c r="CB7" s="15"/>
    </row>
    <row r="8" spans="1:80" x14ac:dyDescent="0.3">
      <c r="A8" s="15"/>
      <c r="B8" s="15"/>
      <c r="C8" s="4" t="s">
        <v>299</v>
      </c>
      <c r="D8" s="15" t="s">
        <v>13</v>
      </c>
      <c r="E8" s="15"/>
      <c r="F8" s="15" t="s">
        <v>140</v>
      </c>
      <c r="G8" s="15">
        <f>IF(F8="S",1,IF(F8="M",2,IF(F8="L",4,0)))</f>
        <v>1</v>
      </c>
      <c r="H8" s="15">
        <v>0</v>
      </c>
      <c r="I8" s="15" t="s">
        <v>191</v>
      </c>
      <c r="J8" s="15" t="s">
        <v>69</v>
      </c>
      <c r="K8" s="16"/>
      <c r="L8" s="16"/>
      <c r="M8" s="16" t="s">
        <v>115</v>
      </c>
      <c r="N8" s="16"/>
      <c r="O8" s="16"/>
      <c r="P8" s="37" t="str">
        <f>IF(COUNTIF($W8:$BX8,"F")=0,"",COUNTIF($W8:$BX8,"F"))</f>
        <v/>
      </c>
      <c r="Q8" s="37">
        <f t="shared" si="0"/>
        <v>3</v>
      </c>
      <c r="R8" s="37">
        <f t="shared" si="1"/>
        <v>2</v>
      </c>
      <c r="S8" s="37">
        <f t="shared" si="2"/>
        <v>2</v>
      </c>
      <c r="T8" s="37">
        <f t="shared" si="3"/>
        <v>2</v>
      </c>
      <c r="U8" s="37">
        <f t="shared" si="4"/>
        <v>4</v>
      </c>
      <c r="V8" s="43">
        <f t="shared" si="5"/>
        <v>13</v>
      </c>
      <c r="W8" s="22"/>
      <c r="X8" s="22"/>
      <c r="Y8" s="15"/>
      <c r="Z8" s="15"/>
      <c r="AA8" s="63"/>
      <c r="AB8" s="63"/>
      <c r="AC8" s="22"/>
      <c r="AD8" s="22"/>
      <c r="AE8" s="63"/>
      <c r="AF8" s="22"/>
      <c r="AG8" s="15"/>
      <c r="AH8" s="15"/>
      <c r="AI8" s="15"/>
      <c r="AJ8" s="15" t="s">
        <v>284</v>
      </c>
      <c r="AK8" s="22" t="s">
        <v>284</v>
      </c>
      <c r="AL8" s="22" t="s">
        <v>284</v>
      </c>
      <c r="AM8" s="22" t="s">
        <v>297</v>
      </c>
      <c r="AN8" s="22" t="s">
        <v>297</v>
      </c>
      <c r="AO8" s="15" t="s">
        <v>282</v>
      </c>
      <c r="AP8" s="15" t="s">
        <v>282</v>
      </c>
      <c r="AQ8" s="15" t="s">
        <v>283</v>
      </c>
      <c r="AR8" s="15" t="s">
        <v>283</v>
      </c>
      <c r="AS8" s="22" t="s">
        <v>170</v>
      </c>
      <c r="AT8" s="22" t="s">
        <v>170</v>
      </c>
      <c r="AU8" s="22" t="s">
        <v>170</v>
      </c>
      <c r="AV8" s="22" t="s">
        <v>170</v>
      </c>
      <c r="AW8" s="15"/>
      <c r="AX8" s="15"/>
      <c r="AY8" s="15"/>
      <c r="AZ8" s="15"/>
      <c r="BA8" s="22"/>
      <c r="BB8" s="22"/>
      <c r="BC8" s="22"/>
      <c r="BD8" s="22"/>
      <c r="BE8" s="15"/>
      <c r="BF8" s="15"/>
      <c r="BG8" s="15"/>
      <c r="BH8" s="15"/>
      <c r="BI8" s="22"/>
      <c r="BJ8" s="22"/>
      <c r="BK8" s="22"/>
      <c r="BL8" s="22"/>
      <c r="BM8" s="15"/>
      <c r="BN8" s="15"/>
      <c r="BO8" s="15"/>
      <c r="BP8" s="15"/>
      <c r="BQ8" s="22"/>
      <c r="BR8" s="22"/>
      <c r="BS8" s="22"/>
      <c r="BT8" s="22"/>
      <c r="BU8" s="15"/>
      <c r="BV8" s="15"/>
      <c r="BW8" s="15"/>
      <c r="BX8" s="15"/>
      <c r="BY8" s="22"/>
      <c r="BZ8" s="22"/>
      <c r="CA8" s="15"/>
      <c r="CB8" s="15"/>
    </row>
    <row r="9" spans="1:80" x14ac:dyDescent="0.3">
      <c r="A9" s="15"/>
      <c r="B9" s="15"/>
      <c r="C9" s="4" t="s">
        <v>43</v>
      </c>
      <c r="D9" s="15"/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37"/>
      <c r="Q9" s="37">
        <f t="shared" si="0"/>
        <v>6</v>
      </c>
      <c r="R9" s="37">
        <f t="shared" si="1"/>
        <v>2</v>
      </c>
      <c r="S9" s="37">
        <f t="shared" si="2"/>
        <v>6</v>
      </c>
      <c r="T9" s="37">
        <f t="shared" si="3"/>
        <v>6</v>
      </c>
      <c r="U9" s="37">
        <f t="shared" si="4"/>
        <v>4</v>
      </c>
      <c r="V9" s="43">
        <f t="shared" si="5"/>
        <v>24</v>
      </c>
      <c r="W9" s="22"/>
      <c r="X9" s="22"/>
      <c r="Y9" s="15"/>
      <c r="Z9" s="15"/>
      <c r="AA9" s="63"/>
      <c r="AB9" s="63"/>
      <c r="AC9" s="22" t="s">
        <v>284</v>
      </c>
      <c r="AD9" s="22" t="s">
        <v>284</v>
      </c>
      <c r="AE9" s="63"/>
      <c r="AF9" s="22" t="s">
        <v>284</v>
      </c>
      <c r="AG9" s="15" t="s">
        <v>284</v>
      </c>
      <c r="AH9" s="15" t="s">
        <v>284</v>
      </c>
      <c r="AI9" s="15" t="s">
        <v>284</v>
      </c>
      <c r="AJ9" s="15" t="s">
        <v>297</v>
      </c>
      <c r="AK9" s="22" t="s">
        <v>297</v>
      </c>
      <c r="AL9" s="22"/>
      <c r="AM9" s="22"/>
      <c r="AN9" s="22"/>
      <c r="AO9" s="15"/>
      <c r="AP9" s="15"/>
      <c r="AQ9" s="15" t="s">
        <v>282</v>
      </c>
      <c r="AR9" s="15" t="s">
        <v>282</v>
      </c>
      <c r="AS9" s="22" t="s">
        <v>282</v>
      </c>
      <c r="AT9" s="22" t="s">
        <v>282</v>
      </c>
      <c r="AU9" s="22" t="s">
        <v>282</v>
      </c>
      <c r="AV9" s="22" t="s">
        <v>282</v>
      </c>
      <c r="AW9" s="15" t="s">
        <v>283</v>
      </c>
      <c r="AX9" s="15" t="s">
        <v>283</v>
      </c>
      <c r="AY9" s="15" t="s">
        <v>283</v>
      </c>
      <c r="AZ9" s="15" t="s">
        <v>283</v>
      </c>
      <c r="BA9" s="22" t="s">
        <v>283</v>
      </c>
      <c r="BB9" s="22" t="s">
        <v>283</v>
      </c>
      <c r="BC9" s="22" t="s">
        <v>170</v>
      </c>
      <c r="BD9" s="22" t="s">
        <v>170</v>
      </c>
      <c r="BE9" s="15" t="s">
        <v>170</v>
      </c>
      <c r="BF9" s="15" t="s">
        <v>170</v>
      </c>
      <c r="BG9" s="15"/>
      <c r="BH9" s="15"/>
      <c r="BI9" s="22"/>
      <c r="BJ9" s="22"/>
      <c r="BK9" s="22"/>
      <c r="BL9" s="22"/>
      <c r="BM9" s="15"/>
      <c r="BN9" s="15"/>
      <c r="BO9" s="15"/>
      <c r="BP9" s="15"/>
      <c r="BQ9" s="22"/>
      <c r="BR9" s="22"/>
      <c r="BS9" s="22"/>
      <c r="BT9" s="22"/>
      <c r="BU9" s="15"/>
      <c r="BV9" s="15"/>
      <c r="BW9" s="15"/>
      <c r="BX9" s="15"/>
      <c r="BY9" s="22"/>
      <c r="BZ9" s="22"/>
      <c r="CA9" s="15" t="s">
        <v>96</v>
      </c>
      <c r="CB9" s="15"/>
    </row>
    <row r="10" spans="1:80" x14ac:dyDescent="0.3">
      <c r="A10" s="15"/>
      <c r="B10" s="15"/>
      <c r="C10" s="4" t="s">
        <v>71</v>
      </c>
      <c r="D10" s="15" t="s">
        <v>15</v>
      </c>
      <c r="E10" s="15"/>
      <c r="F10" s="15" t="s">
        <v>138</v>
      </c>
      <c r="G10" s="15">
        <f>IF(F10="S",1,IF(F10="M",2,IF(F10="L",4,0)))</f>
        <v>2</v>
      </c>
      <c r="H10" s="15">
        <v>2</v>
      </c>
      <c r="I10" s="15" t="s">
        <v>113</v>
      </c>
      <c r="J10" s="15" t="s">
        <v>69</v>
      </c>
      <c r="K10" s="16" t="s">
        <v>115</v>
      </c>
      <c r="L10" s="16" t="s">
        <v>115</v>
      </c>
      <c r="M10" s="16"/>
      <c r="N10" s="16"/>
      <c r="O10" s="16"/>
      <c r="P10" s="37" t="str">
        <f>IF(COUNTIF($W10:$BX10,"F")=0,"",COUNTIF($W10:$BX10,"F"))</f>
        <v/>
      </c>
      <c r="Q10" s="37">
        <f t="shared" si="0"/>
        <v>6</v>
      </c>
      <c r="R10" s="37">
        <f t="shared" si="1"/>
        <v>3</v>
      </c>
      <c r="S10" s="37">
        <f t="shared" si="2"/>
        <v>6</v>
      </c>
      <c r="T10" s="37">
        <f t="shared" si="3"/>
        <v>6</v>
      </c>
      <c r="U10" s="37">
        <f t="shared" si="4"/>
        <v>4</v>
      </c>
      <c r="V10" s="43">
        <f t="shared" si="5"/>
        <v>25</v>
      </c>
      <c r="W10" s="22"/>
      <c r="X10" s="22"/>
      <c r="Y10" s="15"/>
      <c r="Z10" s="15"/>
      <c r="AA10" s="63"/>
      <c r="AB10" s="63"/>
      <c r="AC10" s="22"/>
      <c r="AD10" s="22"/>
      <c r="AE10" s="63"/>
      <c r="AF10" s="22"/>
      <c r="AG10" s="15"/>
      <c r="AH10" s="15"/>
      <c r="AI10" s="15"/>
      <c r="AJ10" s="15"/>
      <c r="AK10" s="22" t="s">
        <v>284</v>
      </c>
      <c r="AL10" s="22" t="s">
        <v>284</v>
      </c>
      <c r="AM10" s="22" t="s">
        <v>284</v>
      </c>
      <c r="AN10" s="22" t="s">
        <v>284</v>
      </c>
      <c r="AO10" s="15" t="s">
        <v>284</v>
      </c>
      <c r="AP10" s="15" t="s">
        <v>284</v>
      </c>
      <c r="AQ10" s="15" t="s">
        <v>297</v>
      </c>
      <c r="AR10" s="15" t="s">
        <v>297</v>
      </c>
      <c r="AS10" s="22" t="s">
        <v>297</v>
      </c>
      <c r="AT10" s="22" t="s">
        <v>282</v>
      </c>
      <c r="AU10" s="22" t="s">
        <v>282</v>
      </c>
      <c r="AV10" s="22" t="s">
        <v>282</v>
      </c>
      <c r="AW10" s="15" t="s">
        <v>282</v>
      </c>
      <c r="AX10" s="15" t="s">
        <v>282</v>
      </c>
      <c r="AY10" s="15" t="s">
        <v>282</v>
      </c>
      <c r="AZ10" s="15" t="s">
        <v>283</v>
      </c>
      <c r="BA10" s="22" t="s">
        <v>283</v>
      </c>
      <c r="BB10" s="22" t="s">
        <v>283</v>
      </c>
      <c r="BC10" s="22" t="s">
        <v>283</v>
      </c>
      <c r="BD10" s="22" t="s">
        <v>283</v>
      </c>
      <c r="BE10" s="15" t="s">
        <v>283</v>
      </c>
      <c r="BF10" s="15" t="s">
        <v>170</v>
      </c>
      <c r="BG10" s="15" t="s">
        <v>170</v>
      </c>
      <c r="BH10" s="15" t="s">
        <v>170</v>
      </c>
      <c r="BI10" s="22" t="s">
        <v>170</v>
      </c>
      <c r="BJ10" s="22"/>
      <c r="BK10" s="22"/>
      <c r="BL10" s="22"/>
      <c r="BM10" s="15"/>
      <c r="BN10" s="15"/>
      <c r="BO10" s="15"/>
      <c r="BP10" s="15"/>
      <c r="BQ10" s="22"/>
      <c r="BR10" s="22"/>
      <c r="BS10" s="22"/>
      <c r="BT10" s="22"/>
      <c r="BU10" s="15"/>
      <c r="BV10" s="15"/>
      <c r="BW10" s="15"/>
      <c r="BX10" s="15"/>
      <c r="BY10" s="22"/>
      <c r="BZ10" s="22"/>
      <c r="CA10" s="15"/>
      <c r="CB10" s="15"/>
    </row>
    <row r="11" spans="1:80" x14ac:dyDescent="0.3">
      <c r="A11" s="15"/>
      <c r="B11" s="15"/>
      <c r="C11" s="4" t="s">
        <v>300</v>
      </c>
      <c r="D11" s="15" t="s">
        <v>14</v>
      </c>
      <c r="E11" s="15"/>
      <c r="F11" s="15" t="s">
        <v>139</v>
      </c>
      <c r="G11" s="15">
        <f>IF(F11="S",1,IF(F11="M",2,IF(F11="L",4,0)))</f>
        <v>4</v>
      </c>
      <c r="H11" s="15">
        <v>4</v>
      </c>
      <c r="I11" s="15" t="s">
        <v>112</v>
      </c>
      <c r="J11" s="15" t="s">
        <v>69</v>
      </c>
      <c r="K11" s="16" t="s">
        <v>115</v>
      </c>
      <c r="L11" s="16"/>
      <c r="M11" s="16"/>
      <c r="N11" s="16" t="s">
        <v>115</v>
      </c>
      <c r="O11" s="16"/>
      <c r="P11" s="37" t="str">
        <f>IF(COUNTIF($W11:$BX11,"F")=0,"",COUNTIF($W11:$BX11,"F"))</f>
        <v/>
      </c>
      <c r="Q11" s="37">
        <f t="shared" si="0"/>
        <v>5</v>
      </c>
      <c r="R11" s="37">
        <f t="shared" si="1"/>
        <v>3</v>
      </c>
      <c r="S11" s="37">
        <f t="shared" si="2"/>
        <v>6</v>
      </c>
      <c r="T11" s="37">
        <f t="shared" si="3"/>
        <v>3</v>
      </c>
      <c r="U11" s="37">
        <f t="shared" si="4"/>
        <v>3</v>
      </c>
      <c r="V11" s="43">
        <f t="shared" si="5"/>
        <v>20</v>
      </c>
      <c r="W11" s="22"/>
      <c r="X11" s="22"/>
      <c r="Y11" s="15"/>
      <c r="Z11" s="15"/>
      <c r="AA11" s="63"/>
      <c r="AB11" s="63"/>
      <c r="AC11" s="22"/>
      <c r="AD11" s="22"/>
      <c r="AE11" s="63"/>
      <c r="AF11" s="22"/>
      <c r="AG11" s="15"/>
      <c r="AH11" s="15"/>
      <c r="AI11" s="15"/>
      <c r="AJ11" s="15"/>
      <c r="AK11" s="22"/>
      <c r="AL11" s="22" t="s">
        <v>284</v>
      </c>
      <c r="AM11" s="22" t="s">
        <v>284</v>
      </c>
      <c r="AN11" s="22" t="s">
        <v>284</v>
      </c>
      <c r="AO11" s="15" t="s">
        <v>284</v>
      </c>
      <c r="AP11" s="15" t="s">
        <v>284</v>
      </c>
      <c r="AQ11" s="15" t="s">
        <v>297</v>
      </c>
      <c r="AR11" s="15" t="s">
        <v>297</v>
      </c>
      <c r="AS11" s="22" t="s">
        <v>297</v>
      </c>
      <c r="AT11" s="22"/>
      <c r="AU11" s="22" t="s">
        <v>282</v>
      </c>
      <c r="AV11" s="22" t="s">
        <v>282</v>
      </c>
      <c r="AW11" s="15" t="s">
        <v>282</v>
      </c>
      <c r="AX11" s="15" t="s">
        <v>282</v>
      </c>
      <c r="AY11" s="15" t="s">
        <v>282</v>
      </c>
      <c r="AZ11" s="15" t="s">
        <v>282</v>
      </c>
      <c r="BA11" s="22" t="s">
        <v>283</v>
      </c>
      <c r="BB11" s="22" t="s">
        <v>283</v>
      </c>
      <c r="BC11" s="22" t="s">
        <v>283</v>
      </c>
      <c r="BD11" s="22" t="s">
        <v>170</v>
      </c>
      <c r="BE11" s="15" t="s">
        <v>170</v>
      </c>
      <c r="BF11" s="15" t="s">
        <v>170</v>
      </c>
      <c r="BG11" s="15"/>
      <c r="BH11" s="15"/>
      <c r="BI11" s="22"/>
      <c r="BJ11" s="22"/>
      <c r="BK11" s="22"/>
      <c r="BL11" s="22"/>
      <c r="BM11" s="15"/>
      <c r="BN11" s="15"/>
      <c r="BO11" s="15"/>
      <c r="BP11" s="15"/>
      <c r="BQ11" s="22"/>
      <c r="BR11" s="22"/>
      <c r="BS11" s="22"/>
      <c r="BT11" s="22"/>
      <c r="BU11" s="15"/>
      <c r="BV11" s="15"/>
      <c r="BW11" s="15"/>
      <c r="BX11" s="15"/>
      <c r="BY11" s="22"/>
      <c r="BZ11" s="22"/>
      <c r="CA11" s="15"/>
      <c r="CB11" s="15"/>
    </row>
    <row r="12" spans="1:80" x14ac:dyDescent="0.3">
      <c r="A12" s="15"/>
      <c r="B12" s="15"/>
      <c r="C12" s="4" t="s">
        <v>146</v>
      </c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6"/>
      <c r="O12" s="16"/>
      <c r="P12" s="37"/>
      <c r="Q12" s="37">
        <f t="shared" si="0"/>
        <v>6</v>
      </c>
      <c r="R12" s="37">
        <f t="shared" si="1"/>
        <v>3</v>
      </c>
      <c r="S12" s="37">
        <f t="shared" si="2"/>
        <v>8</v>
      </c>
      <c r="T12" s="37">
        <f t="shared" si="3"/>
        <v>5</v>
      </c>
      <c r="U12" s="37">
        <f t="shared" si="4"/>
        <v>4</v>
      </c>
      <c r="V12" s="43">
        <f t="shared" si="5"/>
        <v>26</v>
      </c>
      <c r="W12" s="22"/>
      <c r="X12" s="22"/>
      <c r="Y12" s="15"/>
      <c r="Z12" s="15"/>
      <c r="AA12" s="63"/>
      <c r="AB12" s="63"/>
      <c r="AC12" s="22"/>
      <c r="AD12" s="22"/>
      <c r="AE12" s="63"/>
      <c r="AF12" s="22" t="s">
        <v>284</v>
      </c>
      <c r="AG12" s="15" t="s">
        <v>284</v>
      </c>
      <c r="AH12" s="15" t="s">
        <v>284</v>
      </c>
      <c r="AI12" s="15" t="s">
        <v>284</v>
      </c>
      <c r="AJ12" s="15" t="s">
        <v>284</v>
      </c>
      <c r="AK12" s="22" t="s">
        <v>284</v>
      </c>
      <c r="AL12" s="22" t="s">
        <v>297</v>
      </c>
      <c r="AM12" s="22" t="s">
        <v>297</v>
      </c>
      <c r="AN12" s="22" t="s">
        <v>297</v>
      </c>
      <c r="AO12" s="15"/>
      <c r="AP12" s="15"/>
      <c r="AQ12" s="15"/>
      <c r="AR12" s="15"/>
      <c r="AS12" s="22"/>
      <c r="AT12" s="22"/>
      <c r="AU12" s="22"/>
      <c r="AV12" s="22"/>
      <c r="AW12" s="15" t="s">
        <v>282</v>
      </c>
      <c r="AX12" s="15" t="s">
        <v>282</v>
      </c>
      <c r="AY12" s="15" t="s">
        <v>282</v>
      </c>
      <c r="AZ12" s="15" t="s">
        <v>282</v>
      </c>
      <c r="BA12" s="22" t="s">
        <v>282</v>
      </c>
      <c r="BB12" s="22" t="s">
        <v>282</v>
      </c>
      <c r="BC12" s="22" t="s">
        <v>282</v>
      </c>
      <c r="BD12" s="22" t="s">
        <v>282</v>
      </c>
      <c r="BE12" s="15" t="s">
        <v>283</v>
      </c>
      <c r="BF12" s="15" t="s">
        <v>283</v>
      </c>
      <c r="BG12" s="15" t="s">
        <v>283</v>
      </c>
      <c r="BH12" s="15" t="s">
        <v>283</v>
      </c>
      <c r="BI12" s="22" t="s">
        <v>283</v>
      </c>
      <c r="BJ12" s="22" t="s">
        <v>170</v>
      </c>
      <c r="BK12" s="22" t="s">
        <v>170</v>
      </c>
      <c r="BL12" s="22" t="s">
        <v>170</v>
      </c>
      <c r="BM12" s="15" t="s">
        <v>170</v>
      </c>
      <c r="BN12" s="15"/>
      <c r="BO12" s="15"/>
      <c r="BP12" s="15"/>
      <c r="BQ12" s="22"/>
      <c r="BR12" s="22"/>
      <c r="BS12" s="22"/>
      <c r="BT12" s="22"/>
      <c r="BU12" s="15"/>
      <c r="BV12" s="15"/>
      <c r="BW12" s="15"/>
      <c r="BX12" s="15"/>
      <c r="BY12" s="22"/>
      <c r="BZ12" s="22"/>
      <c r="CA12" s="15" t="s">
        <v>96</v>
      </c>
      <c r="CB12" s="15"/>
    </row>
    <row r="13" spans="1:80" x14ac:dyDescent="0.3">
      <c r="A13" s="15"/>
      <c r="B13" s="15"/>
      <c r="C13" s="4" t="s">
        <v>136</v>
      </c>
      <c r="D13" s="15" t="s">
        <v>16</v>
      </c>
      <c r="E13" s="15"/>
      <c r="F13" s="15" t="s">
        <v>138</v>
      </c>
      <c r="G13" s="15">
        <f>IF(F13="S",1,IF(F13="M",2,IF(F13="L",4,0)))</f>
        <v>2</v>
      </c>
      <c r="H13" s="15">
        <v>2</v>
      </c>
      <c r="I13" s="15" t="s">
        <v>111</v>
      </c>
      <c r="J13" s="15" t="s">
        <v>69</v>
      </c>
      <c r="K13" s="16" t="s">
        <v>115</v>
      </c>
      <c r="L13" s="16"/>
      <c r="M13" s="16"/>
      <c r="N13" s="16"/>
      <c r="O13" s="16" t="s">
        <v>115</v>
      </c>
      <c r="P13" s="37" t="str">
        <f>IF(COUNTIF($W13:$BX13,"F")=0,"",COUNTIF($W13:$BX13,"F"))</f>
        <v/>
      </c>
      <c r="Q13" s="37">
        <f t="shared" si="0"/>
        <v>6</v>
      </c>
      <c r="R13" s="37">
        <f t="shared" si="1"/>
        <v>2</v>
      </c>
      <c r="S13" s="37">
        <f t="shared" si="2"/>
        <v>5</v>
      </c>
      <c r="T13" s="37">
        <f t="shared" si="3"/>
        <v>5</v>
      </c>
      <c r="U13" s="37">
        <f t="shared" si="4"/>
        <v>4</v>
      </c>
      <c r="V13" s="43">
        <f t="shared" si="5"/>
        <v>22</v>
      </c>
      <c r="W13" s="22"/>
      <c r="X13" s="22"/>
      <c r="Y13" s="15"/>
      <c r="Z13" s="15"/>
      <c r="AA13" s="63"/>
      <c r="AB13" s="63"/>
      <c r="AC13" s="22"/>
      <c r="AD13" s="22"/>
      <c r="AE13" s="63"/>
      <c r="AF13" s="22"/>
      <c r="AG13" s="15"/>
      <c r="AH13" s="15"/>
      <c r="AI13" s="15"/>
      <c r="AJ13" s="15"/>
      <c r="AK13" s="22"/>
      <c r="AL13" s="22" t="s">
        <v>284</v>
      </c>
      <c r="AM13" s="22" t="s">
        <v>284</v>
      </c>
      <c r="AN13" s="22" t="s">
        <v>284</v>
      </c>
      <c r="AO13" s="15" t="s">
        <v>284</v>
      </c>
      <c r="AP13" s="15" t="s">
        <v>284</v>
      </c>
      <c r="AQ13" s="15" t="s">
        <v>284</v>
      </c>
      <c r="AR13" s="15" t="s">
        <v>297</v>
      </c>
      <c r="AS13" s="22" t="s">
        <v>297</v>
      </c>
      <c r="AT13" s="22"/>
      <c r="AU13" s="22"/>
      <c r="AV13" s="22" t="s">
        <v>282</v>
      </c>
      <c r="AW13" s="15" t="s">
        <v>282</v>
      </c>
      <c r="AX13" s="15" t="s">
        <v>282</v>
      </c>
      <c r="AY13" s="15" t="s">
        <v>282</v>
      </c>
      <c r="AZ13" s="15" t="s">
        <v>282</v>
      </c>
      <c r="BA13" s="22" t="s">
        <v>283</v>
      </c>
      <c r="BB13" s="22" t="s">
        <v>283</v>
      </c>
      <c r="BC13" s="22" t="s">
        <v>283</v>
      </c>
      <c r="BD13" s="22" t="s">
        <v>283</v>
      </c>
      <c r="BE13" s="15" t="s">
        <v>283</v>
      </c>
      <c r="BF13" s="15" t="s">
        <v>170</v>
      </c>
      <c r="BG13" s="15" t="s">
        <v>170</v>
      </c>
      <c r="BH13" s="15" t="s">
        <v>170</v>
      </c>
      <c r="BI13" s="22" t="s">
        <v>170</v>
      </c>
      <c r="BJ13" s="22"/>
      <c r="BK13" s="22"/>
      <c r="BL13" s="22"/>
      <c r="BM13" s="15"/>
      <c r="BN13" s="15"/>
      <c r="BO13" s="15"/>
      <c r="BP13" s="15"/>
      <c r="BQ13" s="22"/>
      <c r="BR13" s="22"/>
      <c r="BS13" s="22"/>
      <c r="BT13" s="22"/>
      <c r="BU13" s="15"/>
      <c r="BV13" s="15"/>
      <c r="BW13" s="15"/>
      <c r="BX13" s="15"/>
      <c r="BY13" s="22"/>
      <c r="BZ13" s="22"/>
      <c r="CA13" s="15"/>
      <c r="CB13" s="15"/>
    </row>
    <row r="14" spans="1:80" x14ac:dyDescent="0.3">
      <c r="A14" s="15"/>
      <c r="B14" s="15"/>
      <c r="C14" s="4" t="s">
        <v>228</v>
      </c>
      <c r="D14" s="15" t="s">
        <v>97</v>
      </c>
      <c r="E14" s="15"/>
      <c r="F14" s="15" t="s">
        <v>138</v>
      </c>
      <c r="G14" s="15">
        <f>IF(F14="S",1,IF(F14="M",2,IF(F14="L",4,0)))</f>
        <v>2</v>
      </c>
      <c r="H14" s="15">
        <v>2</v>
      </c>
      <c r="I14" s="15"/>
      <c r="J14" s="15" t="s">
        <v>69</v>
      </c>
      <c r="K14" s="16" t="s">
        <v>115</v>
      </c>
      <c r="L14" s="16" t="s">
        <v>115</v>
      </c>
      <c r="M14" s="16" t="s">
        <v>115</v>
      </c>
      <c r="N14" s="16" t="s">
        <v>115</v>
      </c>
      <c r="O14" s="16"/>
      <c r="P14" s="37" t="str">
        <f>IF(COUNTIF($W14:$BX14,"F")=0,"",COUNTIF($W14:$BX14,"F"))</f>
        <v/>
      </c>
      <c r="Q14" s="37">
        <f t="shared" si="0"/>
        <v>3</v>
      </c>
      <c r="R14" s="37">
        <f t="shared" si="1"/>
        <v>2</v>
      </c>
      <c r="S14" s="37">
        <f t="shared" si="2"/>
        <v>4</v>
      </c>
      <c r="T14" s="37">
        <f t="shared" si="3"/>
        <v>3</v>
      </c>
      <c r="U14" s="37">
        <f t="shared" si="4"/>
        <v>3</v>
      </c>
      <c r="V14" s="43">
        <f t="shared" si="5"/>
        <v>15</v>
      </c>
      <c r="W14" s="22"/>
      <c r="X14" s="22"/>
      <c r="Y14" s="15"/>
      <c r="Z14" s="15"/>
      <c r="AA14" s="63"/>
      <c r="AB14" s="63"/>
      <c r="AC14" s="22"/>
      <c r="AD14" s="22"/>
      <c r="AE14" s="63"/>
      <c r="AF14" s="22"/>
      <c r="AG14" s="15"/>
      <c r="AH14" s="15"/>
      <c r="AI14" s="15"/>
      <c r="AJ14" s="15"/>
      <c r="AK14" s="22"/>
      <c r="AL14" s="22"/>
      <c r="AM14" s="22"/>
      <c r="AN14" s="22"/>
      <c r="AO14" s="15"/>
      <c r="AP14" s="15"/>
      <c r="AQ14" s="15"/>
      <c r="AR14" s="15"/>
      <c r="AS14" s="22"/>
      <c r="AT14" s="22"/>
      <c r="AU14" s="22"/>
      <c r="AV14" s="42" t="s">
        <v>284</v>
      </c>
      <c r="AW14" s="40" t="s">
        <v>284</v>
      </c>
      <c r="AX14" s="40" t="s">
        <v>284</v>
      </c>
      <c r="AY14" s="15" t="s">
        <v>297</v>
      </c>
      <c r="AZ14" s="15" t="s">
        <v>297</v>
      </c>
      <c r="BA14" s="22" t="s">
        <v>282</v>
      </c>
      <c r="BB14" s="22" t="s">
        <v>282</v>
      </c>
      <c r="BC14" s="22" t="s">
        <v>282</v>
      </c>
      <c r="BD14" s="22" t="s">
        <v>282</v>
      </c>
      <c r="BE14" s="15" t="s">
        <v>283</v>
      </c>
      <c r="BF14" s="15" t="s">
        <v>283</v>
      </c>
      <c r="BG14" s="15" t="s">
        <v>283</v>
      </c>
      <c r="BH14" s="15" t="s">
        <v>170</v>
      </c>
      <c r="BI14" s="22" t="s">
        <v>170</v>
      </c>
      <c r="BJ14" s="22" t="s">
        <v>170</v>
      </c>
      <c r="BK14" s="22"/>
      <c r="BL14" s="22"/>
      <c r="BM14" s="15"/>
      <c r="BN14" s="15"/>
      <c r="BO14" s="15"/>
      <c r="BP14" s="15"/>
      <c r="BQ14" s="22"/>
      <c r="BR14" s="22"/>
      <c r="BS14" s="22"/>
      <c r="BT14" s="22"/>
      <c r="BU14" s="15"/>
      <c r="BV14" s="15"/>
      <c r="BW14" s="15"/>
      <c r="BX14" s="15"/>
      <c r="BY14" s="22"/>
      <c r="BZ14" s="22"/>
      <c r="CA14" s="15"/>
      <c r="CB14" s="15"/>
    </row>
    <row r="15" spans="1:80" x14ac:dyDescent="0.3">
      <c r="A15" s="15"/>
      <c r="B15" s="15"/>
      <c r="C15" s="4" t="s">
        <v>89</v>
      </c>
      <c r="D15" s="15" t="s">
        <v>16</v>
      </c>
      <c r="E15" s="15"/>
      <c r="F15" s="15" t="s">
        <v>138</v>
      </c>
      <c r="G15" s="15">
        <f>IF(F15="S",1,IF(F15="M",2,IF(F15="L",4,0)))</f>
        <v>2</v>
      </c>
      <c r="H15" s="15">
        <v>2</v>
      </c>
      <c r="I15" s="15" t="s">
        <v>111</v>
      </c>
      <c r="J15" s="15"/>
      <c r="K15" s="16" t="s">
        <v>115</v>
      </c>
      <c r="L15" s="16"/>
      <c r="M15" s="16"/>
      <c r="N15" s="16"/>
      <c r="O15" s="16"/>
      <c r="P15" s="37" t="str">
        <f>IF(COUNTIF($W15:$BX15,"F")=0,"",COUNTIF($W15:$BX15,"F"))</f>
        <v/>
      </c>
      <c r="Q15" s="37">
        <f t="shared" si="0"/>
        <v>6</v>
      </c>
      <c r="R15" s="37">
        <f t="shared" si="1"/>
        <v>2</v>
      </c>
      <c r="S15" s="37">
        <f t="shared" si="2"/>
        <v>6</v>
      </c>
      <c r="T15" s="37">
        <f t="shared" si="3"/>
        <v>4</v>
      </c>
      <c r="U15" s="37">
        <f t="shared" si="4"/>
        <v>4</v>
      </c>
      <c r="V15" s="43">
        <f t="shared" si="5"/>
        <v>22</v>
      </c>
      <c r="W15" s="22"/>
      <c r="X15" s="22"/>
      <c r="Y15" s="15"/>
      <c r="Z15" s="15"/>
      <c r="AA15" s="63"/>
      <c r="AB15" s="63"/>
      <c r="AC15" s="22"/>
      <c r="AD15" s="22"/>
      <c r="AE15" s="63"/>
      <c r="AF15" s="22"/>
      <c r="AG15" s="15"/>
      <c r="AH15" s="15"/>
      <c r="AI15" s="15"/>
      <c r="AJ15" s="15"/>
      <c r="AK15" s="22"/>
      <c r="AL15" s="22"/>
      <c r="AM15" s="22"/>
      <c r="AN15" s="22"/>
      <c r="AO15" s="15"/>
      <c r="AP15" s="15"/>
      <c r="AQ15" s="15" t="s">
        <v>284</v>
      </c>
      <c r="AR15" s="15" t="s">
        <v>284</v>
      </c>
      <c r="AS15" s="22" t="s">
        <v>284</v>
      </c>
      <c r="AT15" s="22" t="s">
        <v>284</v>
      </c>
      <c r="AU15" s="22" t="s">
        <v>284</v>
      </c>
      <c r="AV15" s="22" t="s">
        <v>284</v>
      </c>
      <c r="AW15" s="15" t="s">
        <v>297</v>
      </c>
      <c r="AX15" s="15" t="s">
        <v>297</v>
      </c>
      <c r="AY15" s="15"/>
      <c r="AZ15" s="15"/>
      <c r="BA15" s="22"/>
      <c r="BB15" s="22" t="s">
        <v>282</v>
      </c>
      <c r="BC15" s="22" t="s">
        <v>282</v>
      </c>
      <c r="BD15" s="22" t="s">
        <v>282</v>
      </c>
      <c r="BE15" s="15" t="s">
        <v>282</v>
      </c>
      <c r="BF15" s="15" t="s">
        <v>282</v>
      </c>
      <c r="BG15" s="15" t="s">
        <v>282</v>
      </c>
      <c r="BH15" s="15" t="s">
        <v>283</v>
      </c>
      <c r="BI15" s="22" t="s">
        <v>283</v>
      </c>
      <c r="BJ15" s="22" t="s">
        <v>283</v>
      </c>
      <c r="BK15" s="22" t="s">
        <v>283</v>
      </c>
      <c r="BL15" s="22" t="s">
        <v>170</v>
      </c>
      <c r="BM15" s="15" t="s">
        <v>170</v>
      </c>
      <c r="BN15" s="15" t="s">
        <v>170</v>
      </c>
      <c r="BO15" s="15" t="s">
        <v>170</v>
      </c>
      <c r="BP15" s="15"/>
      <c r="BQ15" s="22"/>
      <c r="BR15" s="22"/>
      <c r="BS15" s="22"/>
      <c r="BT15" s="22"/>
      <c r="BU15" s="15"/>
      <c r="BV15" s="15"/>
      <c r="BW15" s="15"/>
      <c r="BX15" s="15"/>
      <c r="BY15" s="22"/>
      <c r="BZ15" s="22"/>
      <c r="CA15" s="15"/>
      <c r="CB15" s="15"/>
    </row>
    <row r="16" spans="1:80" x14ac:dyDescent="0.3">
      <c r="A16" s="15"/>
      <c r="B16" s="15"/>
      <c r="C16" s="4" t="s">
        <v>234</v>
      </c>
      <c r="D16" s="15" t="s">
        <v>97</v>
      </c>
      <c r="E16" s="15"/>
      <c r="F16" s="15" t="s">
        <v>138</v>
      </c>
      <c r="G16" s="15">
        <f>IF(F16="S",1,IF(F16="M",2,IF(F16="L",4,0)))</f>
        <v>2</v>
      </c>
      <c r="H16" s="15">
        <v>2</v>
      </c>
      <c r="I16" s="15"/>
      <c r="J16" s="15" t="s">
        <v>69</v>
      </c>
      <c r="K16" s="16" t="s">
        <v>115</v>
      </c>
      <c r="L16" s="16" t="s">
        <v>115</v>
      </c>
      <c r="M16" s="16" t="s">
        <v>115</v>
      </c>
      <c r="N16" s="16" t="s">
        <v>115</v>
      </c>
      <c r="O16" s="16"/>
      <c r="P16" s="37" t="str">
        <f>IF(COUNTIF($W16:$BX16,"F")=0,"",COUNTIF($W16:$BX16,"F"))</f>
        <v/>
      </c>
      <c r="Q16" s="37">
        <f t="shared" si="0"/>
        <v>6</v>
      </c>
      <c r="R16" s="37">
        <f t="shared" si="1"/>
        <v>3</v>
      </c>
      <c r="S16" s="37">
        <f t="shared" si="2"/>
        <v>4</v>
      </c>
      <c r="T16" s="37">
        <f t="shared" si="3"/>
        <v>5</v>
      </c>
      <c r="U16" s="37">
        <f t="shared" si="4"/>
        <v>4</v>
      </c>
      <c r="V16" s="43">
        <f t="shared" si="5"/>
        <v>22</v>
      </c>
      <c r="W16" s="22"/>
      <c r="X16" s="22"/>
      <c r="Y16" s="15"/>
      <c r="Z16" s="15"/>
      <c r="AA16" s="63"/>
      <c r="AB16" s="63"/>
      <c r="AC16" s="22"/>
      <c r="AD16" s="22"/>
      <c r="AE16" s="63"/>
      <c r="AF16" s="38"/>
      <c r="AG16" s="39"/>
      <c r="AH16" s="39"/>
      <c r="AI16" s="39"/>
      <c r="AJ16" s="39"/>
      <c r="AK16" s="38"/>
      <c r="AL16" s="38"/>
      <c r="AM16" s="38"/>
      <c r="AN16" s="38"/>
      <c r="AO16" s="39" t="s">
        <v>284</v>
      </c>
      <c r="AP16" s="39" t="s">
        <v>284</v>
      </c>
      <c r="AQ16" s="39" t="s">
        <v>284</v>
      </c>
      <c r="AR16" s="39" t="s">
        <v>284</v>
      </c>
      <c r="AS16" s="38" t="s">
        <v>284</v>
      </c>
      <c r="AT16" s="38" t="s">
        <v>284</v>
      </c>
      <c r="AU16" s="38" t="s">
        <v>297</v>
      </c>
      <c r="AV16" s="38" t="s">
        <v>297</v>
      </c>
      <c r="AW16" s="39" t="s">
        <v>297</v>
      </c>
      <c r="AX16" s="39"/>
      <c r="AY16" s="39"/>
      <c r="AZ16" s="39"/>
      <c r="BA16" s="22"/>
      <c r="BB16" s="22" t="s">
        <v>282</v>
      </c>
      <c r="BC16" s="22" t="s">
        <v>282</v>
      </c>
      <c r="BD16" s="22" t="s">
        <v>282</v>
      </c>
      <c r="BE16" s="15" t="s">
        <v>282</v>
      </c>
      <c r="BF16" s="15" t="s">
        <v>283</v>
      </c>
      <c r="BG16" s="15" t="s">
        <v>283</v>
      </c>
      <c r="BH16" s="15" t="s">
        <v>283</v>
      </c>
      <c r="BI16" s="22" t="s">
        <v>283</v>
      </c>
      <c r="BJ16" s="22" t="s">
        <v>283</v>
      </c>
      <c r="BK16" s="22" t="s">
        <v>170</v>
      </c>
      <c r="BL16" s="22" t="s">
        <v>170</v>
      </c>
      <c r="BM16" s="15" t="s">
        <v>170</v>
      </c>
      <c r="BN16" s="15" t="s">
        <v>170</v>
      </c>
      <c r="BO16" s="15"/>
      <c r="BP16" s="15"/>
      <c r="BQ16" s="22"/>
      <c r="BR16" s="22"/>
      <c r="BS16" s="22"/>
      <c r="BT16" s="22"/>
      <c r="BU16" s="15"/>
      <c r="BV16" s="15"/>
      <c r="BW16" s="15"/>
      <c r="BX16" s="15"/>
      <c r="BY16" s="22"/>
      <c r="BZ16" s="22"/>
      <c r="CA16" s="15"/>
      <c r="CB16" s="15"/>
    </row>
    <row r="17" spans="1:80" x14ac:dyDescent="0.3">
      <c r="A17" s="15"/>
      <c r="B17" s="15"/>
      <c r="C17" s="4" t="s">
        <v>145</v>
      </c>
      <c r="D17" s="15"/>
      <c r="E17" s="15"/>
      <c r="F17" s="15"/>
      <c r="G17" s="15"/>
      <c r="H17" s="15"/>
      <c r="I17" s="15"/>
      <c r="J17" s="15"/>
      <c r="K17" s="16"/>
      <c r="L17" s="16"/>
      <c r="M17" s="16"/>
      <c r="N17" s="16"/>
      <c r="O17" s="16"/>
      <c r="P17" s="37"/>
      <c r="Q17" s="37">
        <f t="shared" si="0"/>
        <v>5</v>
      </c>
      <c r="R17" s="37">
        <f t="shared" si="1"/>
        <v>3</v>
      </c>
      <c r="S17" s="37">
        <f t="shared" si="2"/>
        <v>8</v>
      </c>
      <c r="T17" s="37">
        <f t="shared" si="3"/>
        <v>6</v>
      </c>
      <c r="U17" s="37">
        <f t="shared" si="4"/>
        <v>4</v>
      </c>
      <c r="V17" s="43">
        <f t="shared" si="5"/>
        <v>26</v>
      </c>
      <c r="W17" s="22"/>
      <c r="X17" s="22"/>
      <c r="Y17" s="15"/>
      <c r="Z17" s="15"/>
      <c r="AA17" s="63"/>
      <c r="AB17" s="63"/>
      <c r="AC17" s="22"/>
      <c r="AD17" s="22"/>
      <c r="AE17" s="63"/>
      <c r="AF17" s="22"/>
      <c r="AG17" s="15"/>
      <c r="AH17" s="15"/>
      <c r="AI17" s="15"/>
      <c r="AJ17" s="15"/>
      <c r="AK17" s="22"/>
      <c r="AL17" s="22"/>
      <c r="AM17" s="22"/>
      <c r="AN17" s="22"/>
      <c r="AO17" s="15"/>
      <c r="AP17" s="15"/>
      <c r="AQ17" s="15"/>
      <c r="AR17" s="15"/>
      <c r="AS17" s="22"/>
      <c r="AT17" s="22"/>
      <c r="AU17" s="22"/>
      <c r="AV17" s="22"/>
      <c r="AW17" s="15" t="s">
        <v>284</v>
      </c>
      <c r="AX17" s="15" t="s">
        <v>284</v>
      </c>
      <c r="AY17" s="15" t="s">
        <v>284</v>
      </c>
      <c r="AZ17" s="15" t="s">
        <v>284</v>
      </c>
      <c r="BA17" s="22" t="s">
        <v>284</v>
      </c>
      <c r="BB17" s="22" t="s">
        <v>297</v>
      </c>
      <c r="BC17" s="22" t="s">
        <v>297</v>
      </c>
      <c r="BD17" s="22" t="s">
        <v>297</v>
      </c>
      <c r="BE17" s="15" t="s">
        <v>282</v>
      </c>
      <c r="BF17" s="15" t="s">
        <v>282</v>
      </c>
      <c r="BG17" s="15" t="s">
        <v>282</v>
      </c>
      <c r="BH17" s="15" t="s">
        <v>282</v>
      </c>
      <c r="BI17" s="22" t="s">
        <v>282</v>
      </c>
      <c r="BJ17" s="22" t="s">
        <v>282</v>
      </c>
      <c r="BK17" s="22" t="s">
        <v>282</v>
      </c>
      <c r="BL17" s="22" t="s">
        <v>282</v>
      </c>
      <c r="BM17" s="15" t="s">
        <v>283</v>
      </c>
      <c r="BN17" s="15" t="s">
        <v>283</v>
      </c>
      <c r="BO17" s="15" t="s">
        <v>283</v>
      </c>
      <c r="BP17" s="15" t="s">
        <v>283</v>
      </c>
      <c r="BQ17" s="22" t="s">
        <v>283</v>
      </c>
      <c r="BR17" s="22" t="s">
        <v>283</v>
      </c>
      <c r="BS17" s="22" t="s">
        <v>170</v>
      </c>
      <c r="BT17" s="22" t="s">
        <v>170</v>
      </c>
      <c r="BU17" s="15" t="s">
        <v>170</v>
      </c>
      <c r="BV17" s="15" t="s">
        <v>170</v>
      </c>
      <c r="BW17" s="15"/>
      <c r="BX17" s="15"/>
      <c r="BY17" s="22"/>
      <c r="BZ17" s="22"/>
      <c r="CA17" s="15" t="s">
        <v>96</v>
      </c>
      <c r="CB17" s="15"/>
    </row>
    <row r="18" spans="1:80" x14ac:dyDescent="0.3">
      <c r="A18" s="15"/>
      <c r="B18" s="15"/>
      <c r="C18" s="4" t="s">
        <v>229</v>
      </c>
      <c r="D18" s="15" t="s">
        <v>16</v>
      </c>
      <c r="E18" s="15" t="s">
        <v>108</v>
      </c>
      <c r="F18" s="15" t="s">
        <v>139</v>
      </c>
      <c r="G18" s="15">
        <f t="shared" ref="G18:G26" si="6">IF(F18="S",1,IF(F18="M",2,IF(F18="L",4,0)))</f>
        <v>4</v>
      </c>
      <c r="H18" s="15">
        <v>4</v>
      </c>
      <c r="I18" s="15" t="s">
        <v>111</v>
      </c>
      <c r="J18" s="15"/>
      <c r="K18" s="16" t="s">
        <v>115</v>
      </c>
      <c r="L18" s="16" t="s">
        <v>115</v>
      </c>
      <c r="M18" s="16"/>
      <c r="N18" s="16"/>
      <c r="O18" s="16"/>
      <c r="P18" s="37" t="str">
        <f t="shared" ref="P18:P28" si="7">IF(COUNTIF($W18:$BX18,"F")=0,"",COUNTIF($W18:$BX18,"F"))</f>
        <v/>
      </c>
      <c r="Q18" s="37">
        <f t="shared" si="0"/>
        <v>7</v>
      </c>
      <c r="R18" s="37">
        <f t="shared" si="1"/>
        <v>3</v>
      </c>
      <c r="S18" s="37">
        <f t="shared" si="2"/>
        <v>8</v>
      </c>
      <c r="T18" s="37">
        <f t="shared" si="3"/>
        <v>6</v>
      </c>
      <c r="U18" s="37">
        <f t="shared" si="4"/>
        <v>4</v>
      </c>
      <c r="V18" s="43">
        <f t="shared" si="5"/>
        <v>28</v>
      </c>
      <c r="W18" s="22"/>
      <c r="X18" s="22"/>
      <c r="Y18" s="15"/>
      <c r="Z18" s="15"/>
      <c r="AA18" s="63"/>
      <c r="AB18" s="63"/>
      <c r="AC18" s="22"/>
      <c r="AD18" s="22"/>
      <c r="AE18" s="63"/>
      <c r="AF18" s="22"/>
      <c r="AG18" s="15"/>
      <c r="AH18" s="15"/>
      <c r="AI18" s="15"/>
      <c r="AJ18" s="15"/>
      <c r="AK18" s="22"/>
      <c r="AL18" s="22"/>
      <c r="AM18" s="22"/>
      <c r="AN18" s="22"/>
      <c r="AO18" s="15"/>
      <c r="AP18" s="15"/>
      <c r="AQ18" s="15"/>
      <c r="AR18" s="15"/>
      <c r="AS18" s="22"/>
      <c r="AT18" s="22"/>
      <c r="AU18" s="22"/>
      <c r="AV18" s="22"/>
      <c r="AW18" s="15"/>
      <c r="AX18" s="15" t="s">
        <v>284</v>
      </c>
      <c r="AY18" s="15" t="s">
        <v>284</v>
      </c>
      <c r="AZ18" s="15" t="s">
        <v>284</v>
      </c>
      <c r="BA18" s="22" t="s">
        <v>284</v>
      </c>
      <c r="BB18" s="22" t="s">
        <v>284</v>
      </c>
      <c r="BC18" s="22" t="s">
        <v>284</v>
      </c>
      <c r="BD18" s="22" t="s">
        <v>284</v>
      </c>
      <c r="BE18" s="15" t="s">
        <v>297</v>
      </c>
      <c r="BF18" s="15" t="s">
        <v>297</v>
      </c>
      <c r="BG18" s="15" t="s">
        <v>297</v>
      </c>
      <c r="BH18" s="15" t="s">
        <v>282</v>
      </c>
      <c r="BI18" s="22" t="s">
        <v>282</v>
      </c>
      <c r="BJ18" s="22" t="s">
        <v>282</v>
      </c>
      <c r="BK18" s="22" t="s">
        <v>282</v>
      </c>
      <c r="BL18" s="22" t="s">
        <v>282</v>
      </c>
      <c r="BM18" s="15" t="s">
        <v>282</v>
      </c>
      <c r="BN18" s="15" t="s">
        <v>282</v>
      </c>
      <c r="BO18" s="15" t="s">
        <v>282</v>
      </c>
      <c r="BP18" s="15" t="s">
        <v>283</v>
      </c>
      <c r="BQ18" s="22" t="s">
        <v>283</v>
      </c>
      <c r="BR18" s="22" t="s">
        <v>283</v>
      </c>
      <c r="BS18" s="22" t="s">
        <v>283</v>
      </c>
      <c r="BT18" s="22" t="s">
        <v>283</v>
      </c>
      <c r="BU18" s="15" t="s">
        <v>283</v>
      </c>
      <c r="BV18" s="15" t="s">
        <v>170</v>
      </c>
      <c r="BW18" s="15" t="s">
        <v>170</v>
      </c>
      <c r="BX18" s="15" t="s">
        <v>170</v>
      </c>
      <c r="BY18" s="22" t="s">
        <v>170</v>
      </c>
      <c r="BZ18" s="22"/>
      <c r="CA18" s="15"/>
      <c r="CB18" s="15"/>
    </row>
    <row r="19" spans="1:80" x14ac:dyDescent="0.3">
      <c r="A19" s="15"/>
      <c r="B19" s="15"/>
      <c r="C19" s="4" t="s">
        <v>91</v>
      </c>
      <c r="D19" s="15" t="s">
        <v>15</v>
      </c>
      <c r="E19" s="15"/>
      <c r="F19" s="15" t="s">
        <v>138</v>
      </c>
      <c r="G19" s="15">
        <f t="shared" si="6"/>
        <v>2</v>
      </c>
      <c r="H19" s="15">
        <v>2</v>
      </c>
      <c r="I19" s="15" t="s">
        <v>113</v>
      </c>
      <c r="J19" s="15" t="s">
        <v>69</v>
      </c>
      <c r="K19" s="16" t="s">
        <v>115</v>
      </c>
      <c r="L19" s="16" t="s">
        <v>115</v>
      </c>
      <c r="M19" s="16"/>
      <c r="N19" s="16"/>
      <c r="O19" s="16"/>
      <c r="P19" s="37" t="str">
        <f t="shared" si="7"/>
        <v/>
      </c>
      <c r="Q19" s="37">
        <f t="shared" si="0"/>
        <v>6</v>
      </c>
      <c r="R19" s="37">
        <f t="shared" si="1"/>
        <v>2</v>
      </c>
      <c r="S19" s="37">
        <f t="shared" si="2"/>
        <v>7</v>
      </c>
      <c r="T19" s="37">
        <f t="shared" si="3"/>
        <v>4</v>
      </c>
      <c r="U19" s="37">
        <f t="shared" si="4"/>
        <v>5</v>
      </c>
      <c r="V19" s="43">
        <f t="shared" si="5"/>
        <v>24</v>
      </c>
      <c r="W19" s="22"/>
      <c r="X19" s="22"/>
      <c r="Y19" s="15"/>
      <c r="Z19" s="15"/>
      <c r="AA19" s="63"/>
      <c r="AB19" s="63"/>
      <c r="AC19" s="22"/>
      <c r="AD19" s="22"/>
      <c r="AE19" s="63"/>
      <c r="AF19" s="22"/>
      <c r="AG19" s="15"/>
      <c r="AH19" s="15"/>
      <c r="AI19" s="15"/>
      <c r="AJ19" s="15"/>
      <c r="AK19" s="22"/>
      <c r="AL19" s="22"/>
      <c r="AM19" s="22"/>
      <c r="AN19" s="22"/>
      <c r="AO19" s="15"/>
      <c r="AP19" s="15"/>
      <c r="AQ19" s="15"/>
      <c r="AR19" s="15"/>
      <c r="AS19" s="22"/>
      <c r="AT19" s="22"/>
      <c r="AU19" s="22"/>
      <c r="AV19" s="22"/>
      <c r="AW19" s="15"/>
      <c r="AX19" s="15"/>
      <c r="AY19" s="15"/>
      <c r="AZ19" s="15"/>
      <c r="BA19" s="22"/>
      <c r="BB19" s="22" t="s">
        <v>284</v>
      </c>
      <c r="BC19" s="22" t="s">
        <v>284</v>
      </c>
      <c r="BD19" s="22" t="s">
        <v>284</v>
      </c>
      <c r="BE19" s="15" t="s">
        <v>284</v>
      </c>
      <c r="BF19" s="15" t="s">
        <v>284</v>
      </c>
      <c r="BG19" s="15" t="s">
        <v>284</v>
      </c>
      <c r="BH19" s="15" t="s">
        <v>297</v>
      </c>
      <c r="BI19" s="22" t="s">
        <v>297</v>
      </c>
      <c r="BJ19" s="22" t="s">
        <v>282</v>
      </c>
      <c r="BK19" s="22" t="s">
        <v>282</v>
      </c>
      <c r="BL19" s="22" t="s">
        <v>282</v>
      </c>
      <c r="BM19" s="15" t="s">
        <v>282</v>
      </c>
      <c r="BN19" s="15" t="s">
        <v>282</v>
      </c>
      <c r="BO19" s="15" t="s">
        <v>282</v>
      </c>
      <c r="BP19" s="15" t="s">
        <v>282</v>
      </c>
      <c r="BQ19" s="22" t="s">
        <v>283</v>
      </c>
      <c r="BR19" s="22" t="s">
        <v>283</v>
      </c>
      <c r="BS19" s="22" t="s">
        <v>283</v>
      </c>
      <c r="BT19" s="22" t="s">
        <v>283</v>
      </c>
      <c r="BU19" s="15" t="s">
        <v>170</v>
      </c>
      <c r="BV19" s="15" t="s">
        <v>170</v>
      </c>
      <c r="BW19" s="15" t="s">
        <v>170</v>
      </c>
      <c r="BX19" s="15" t="s">
        <v>170</v>
      </c>
      <c r="BY19" s="22" t="s">
        <v>170</v>
      </c>
      <c r="BZ19" s="22"/>
      <c r="CA19" s="15"/>
      <c r="CB19" s="15"/>
    </row>
    <row r="20" spans="1:80" x14ac:dyDescent="0.3">
      <c r="A20" s="15"/>
      <c r="B20" s="15"/>
      <c r="C20" s="4" t="s">
        <v>313</v>
      </c>
      <c r="D20" s="15" t="s">
        <v>174</v>
      </c>
      <c r="E20" s="15"/>
      <c r="F20" s="15" t="s">
        <v>138</v>
      </c>
      <c r="G20" s="15">
        <f t="shared" si="6"/>
        <v>2</v>
      </c>
      <c r="H20" s="15">
        <v>0</v>
      </c>
      <c r="I20" s="15" t="s">
        <v>192</v>
      </c>
      <c r="J20" s="15"/>
      <c r="K20" s="16"/>
      <c r="L20" s="16"/>
      <c r="M20" s="16" t="s">
        <v>115</v>
      </c>
      <c r="N20" s="16"/>
      <c r="O20" s="16"/>
      <c r="P20" s="37" t="str">
        <f t="shared" si="7"/>
        <v/>
      </c>
      <c r="Q20" s="37">
        <f t="shared" si="0"/>
        <v>3</v>
      </c>
      <c r="R20" s="37">
        <f t="shared" si="1"/>
        <v>2</v>
      </c>
      <c r="S20" s="37">
        <f t="shared" si="2"/>
        <v>3</v>
      </c>
      <c r="T20" s="37">
        <f t="shared" si="3"/>
        <v>3</v>
      </c>
      <c r="U20" s="37">
        <f t="shared" si="4"/>
        <v>4</v>
      </c>
      <c r="V20" s="43">
        <f t="shared" si="5"/>
        <v>15</v>
      </c>
      <c r="W20" s="22"/>
      <c r="X20" s="22"/>
      <c r="Y20" s="15"/>
      <c r="Z20" s="15"/>
      <c r="AA20" s="63"/>
      <c r="AB20" s="63"/>
      <c r="AC20" s="22"/>
      <c r="AD20" s="22"/>
      <c r="AE20" s="63"/>
      <c r="AF20" s="22"/>
      <c r="AG20" s="15"/>
      <c r="AH20" s="15"/>
      <c r="AI20" s="15"/>
      <c r="AJ20" s="15"/>
      <c r="AK20" s="22"/>
      <c r="AL20" s="22"/>
      <c r="AM20" s="22"/>
      <c r="AN20" s="22"/>
      <c r="AO20" s="15"/>
      <c r="AP20" s="15"/>
      <c r="AQ20" s="15"/>
      <c r="AR20" s="15"/>
      <c r="AS20" s="22"/>
      <c r="AT20" s="22"/>
      <c r="AU20" s="22"/>
      <c r="AV20" s="22"/>
      <c r="AW20" s="15"/>
      <c r="AX20" s="15"/>
      <c r="AY20" s="15"/>
      <c r="AZ20" s="15"/>
      <c r="BA20" s="22"/>
      <c r="BB20" s="22"/>
      <c r="BC20" s="22"/>
      <c r="BD20" s="22"/>
      <c r="BE20" s="15"/>
      <c r="BF20" s="15"/>
      <c r="BG20" s="15"/>
      <c r="BH20" s="15" t="s">
        <v>284</v>
      </c>
      <c r="BI20" s="22" t="s">
        <v>284</v>
      </c>
      <c r="BJ20" s="22" t="s">
        <v>284</v>
      </c>
      <c r="BK20" s="22" t="s">
        <v>297</v>
      </c>
      <c r="BL20" s="22" t="s">
        <v>297</v>
      </c>
      <c r="BM20" s="15" t="s">
        <v>282</v>
      </c>
      <c r="BN20" s="15" t="s">
        <v>282</v>
      </c>
      <c r="BO20" s="15" t="s">
        <v>282</v>
      </c>
      <c r="BP20" s="15" t="s">
        <v>283</v>
      </c>
      <c r="BQ20" s="22" t="s">
        <v>283</v>
      </c>
      <c r="BR20" s="22" t="s">
        <v>283</v>
      </c>
      <c r="BS20" s="22" t="s">
        <v>170</v>
      </c>
      <c r="BT20" s="22" t="s">
        <v>170</v>
      </c>
      <c r="BU20" s="15" t="s">
        <v>170</v>
      </c>
      <c r="BV20" s="15" t="s">
        <v>170</v>
      </c>
      <c r="BW20" s="15"/>
      <c r="BX20" s="15"/>
      <c r="BY20" s="22"/>
      <c r="BZ20" s="22"/>
      <c r="CA20" s="15"/>
      <c r="CB20" s="15"/>
    </row>
    <row r="21" spans="1:80" x14ac:dyDescent="0.3">
      <c r="A21" s="15"/>
      <c r="B21" s="15"/>
      <c r="C21" s="67" t="s">
        <v>308</v>
      </c>
      <c r="D21" s="15" t="s">
        <v>19</v>
      </c>
      <c r="E21" s="15"/>
      <c r="F21" s="15" t="s">
        <v>140</v>
      </c>
      <c r="G21" s="15">
        <f t="shared" si="6"/>
        <v>1</v>
      </c>
      <c r="H21" s="15">
        <v>1</v>
      </c>
      <c r="I21" s="15" t="s">
        <v>83</v>
      </c>
      <c r="J21" s="15" t="s">
        <v>69</v>
      </c>
      <c r="K21" s="16" t="s">
        <v>115</v>
      </c>
      <c r="L21" s="16"/>
      <c r="M21" s="16"/>
      <c r="N21" s="16"/>
      <c r="O21" s="16"/>
      <c r="P21" s="37" t="str">
        <f t="shared" si="7"/>
        <v/>
      </c>
      <c r="Q21" s="37">
        <f t="shared" si="0"/>
        <v>3</v>
      </c>
      <c r="R21" s="37">
        <f t="shared" si="1"/>
        <v>2</v>
      </c>
      <c r="S21" s="37">
        <f t="shared" si="2"/>
        <v>2</v>
      </c>
      <c r="T21" s="37">
        <f t="shared" si="3"/>
        <v>3</v>
      </c>
      <c r="U21" s="37">
        <f t="shared" si="4"/>
        <v>3</v>
      </c>
      <c r="V21" s="43">
        <f t="shared" si="5"/>
        <v>13</v>
      </c>
      <c r="W21" s="22"/>
      <c r="X21" s="22"/>
      <c r="Y21" s="15"/>
      <c r="Z21" s="15"/>
      <c r="AA21" s="63"/>
      <c r="AB21" s="63"/>
      <c r="AC21" s="22"/>
      <c r="AD21" s="22"/>
      <c r="AE21" s="63"/>
      <c r="AF21" s="22"/>
      <c r="AG21" s="15"/>
      <c r="AH21" s="15"/>
      <c r="AI21" s="15"/>
      <c r="AJ21" s="15"/>
      <c r="AK21" s="22"/>
      <c r="AL21" s="22"/>
      <c r="AM21" s="22"/>
      <c r="AN21" s="22"/>
      <c r="AO21" s="15"/>
      <c r="AP21" s="15"/>
      <c r="AQ21" s="15"/>
      <c r="AR21" s="15"/>
      <c r="AS21" s="22"/>
      <c r="AT21" s="22"/>
      <c r="AU21" s="22"/>
      <c r="AV21" s="22"/>
      <c r="AW21" s="15"/>
      <c r="AX21" s="15"/>
      <c r="AY21" s="15"/>
      <c r="AZ21" s="15"/>
      <c r="BA21" s="22"/>
      <c r="BB21" s="22"/>
      <c r="BC21" s="22"/>
      <c r="BD21" s="22"/>
      <c r="BE21" s="15"/>
      <c r="BF21" s="15"/>
      <c r="BG21" s="15"/>
      <c r="BH21" s="15"/>
      <c r="BI21" s="22"/>
      <c r="BJ21" s="22" t="s">
        <v>284</v>
      </c>
      <c r="BK21" s="22" t="s">
        <v>284</v>
      </c>
      <c r="BL21" s="22" t="s">
        <v>284</v>
      </c>
      <c r="BM21" s="15" t="s">
        <v>297</v>
      </c>
      <c r="BN21" s="15" t="s">
        <v>297</v>
      </c>
      <c r="BO21" s="15" t="s">
        <v>282</v>
      </c>
      <c r="BP21" s="15" t="s">
        <v>282</v>
      </c>
      <c r="BQ21" s="22" t="s">
        <v>283</v>
      </c>
      <c r="BR21" s="22" t="s">
        <v>283</v>
      </c>
      <c r="BS21" s="22" t="s">
        <v>283</v>
      </c>
      <c r="BT21" s="22" t="s">
        <v>170</v>
      </c>
      <c r="BU21" s="15" t="s">
        <v>170</v>
      </c>
      <c r="BV21" s="15" t="s">
        <v>170</v>
      </c>
      <c r="BW21" s="15"/>
      <c r="BX21" s="15"/>
      <c r="BY21" s="22"/>
      <c r="BZ21" s="22"/>
      <c r="CA21" s="15"/>
      <c r="CB21" s="15"/>
    </row>
    <row r="22" spans="1:80" ht="15" customHeight="1" x14ac:dyDescent="0.3">
      <c r="A22" s="15"/>
      <c r="B22" s="15"/>
      <c r="C22" s="4" t="s">
        <v>92</v>
      </c>
      <c r="D22" s="15" t="s">
        <v>15</v>
      </c>
      <c r="E22" s="15" t="s">
        <v>109</v>
      </c>
      <c r="F22" s="15" t="s">
        <v>140</v>
      </c>
      <c r="G22" s="15">
        <f t="shared" si="6"/>
        <v>1</v>
      </c>
      <c r="H22" s="15">
        <v>1</v>
      </c>
      <c r="I22" s="15" t="s">
        <v>113</v>
      </c>
      <c r="J22" s="15" t="s">
        <v>69</v>
      </c>
      <c r="K22" s="16" t="s">
        <v>115</v>
      </c>
      <c r="L22" s="16"/>
      <c r="M22" s="16"/>
      <c r="N22" s="16"/>
      <c r="O22" s="16"/>
      <c r="P22" s="37" t="str">
        <f t="shared" si="7"/>
        <v/>
      </c>
      <c r="Q22" s="37">
        <f t="shared" si="0"/>
        <v>3</v>
      </c>
      <c r="R22" s="37">
        <f t="shared" si="1"/>
        <v>2</v>
      </c>
      <c r="S22" s="37" t="str">
        <f t="shared" si="2"/>
        <v/>
      </c>
      <c r="T22" s="37" t="str">
        <f t="shared" si="3"/>
        <v/>
      </c>
      <c r="U22" s="37" t="str">
        <f t="shared" si="4"/>
        <v/>
      </c>
      <c r="V22" s="43">
        <f t="shared" si="5"/>
        <v>5</v>
      </c>
      <c r="W22" s="42"/>
      <c r="X22" s="42"/>
      <c r="Y22" s="40"/>
      <c r="Z22" s="40"/>
      <c r="AA22" s="64"/>
      <c r="AB22" s="64"/>
      <c r="AC22" s="22"/>
      <c r="AD22" s="22"/>
      <c r="AE22" s="63"/>
      <c r="AF22" s="22"/>
      <c r="AG22" s="15"/>
      <c r="AH22" s="15"/>
      <c r="AI22" s="15"/>
      <c r="AJ22" s="15"/>
      <c r="AK22" s="22"/>
      <c r="AL22" s="22"/>
      <c r="AM22" s="22"/>
      <c r="AN22" s="22"/>
      <c r="AO22" s="15"/>
      <c r="AP22" s="15"/>
      <c r="AQ22" s="15"/>
      <c r="AR22" s="15"/>
      <c r="AS22" s="22"/>
      <c r="AT22" s="22"/>
      <c r="AU22" s="22"/>
      <c r="AV22" s="22"/>
      <c r="AW22" s="15"/>
      <c r="AX22" s="15"/>
      <c r="AY22" s="15"/>
      <c r="AZ22" s="15"/>
      <c r="BA22" s="22"/>
      <c r="BB22" s="22"/>
      <c r="BC22" s="22"/>
      <c r="BD22" s="22"/>
      <c r="BE22" s="15"/>
      <c r="BF22" s="15"/>
      <c r="BG22" s="15"/>
      <c r="BH22" s="15"/>
      <c r="BI22" s="22"/>
      <c r="BJ22" s="22"/>
      <c r="BK22" s="22"/>
      <c r="BL22" s="22"/>
      <c r="BM22" s="15"/>
      <c r="BN22" s="15"/>
      <c r="BO22" s="15"/>
      <c r="BP22" s="15"/>
      <c r="BQ22" s="22"/>
      <c r="BR22" s="22"/>
      <c r="BS22" s="22"/>
      <c r="BT22" s="22" t="s">
        <v>284</v>
      </c>
      <c r="BU22" s="15" t="s">
        <v>284</v>
      </c>
      <c r="BV22" s="15" t="s">
        <v>284</v>
      </c>
      <c r="BW22" s="15" t="s">
        <v>297</v>
      </c>
      <c r="BX22" s="15" t="s">
        <v>297</v>
      </c>
      <c r="BY22" s="22"/>
      <c r="BZ22" s="22"/>
      <c r="CA22" s="15" t="s">
        <v>96</v>
      </c>
      <c r="CB22" s="15"/>
    </row>
    <row r="23" spans="1:80" x14ac:dyDescent="0.3">
      <c r="A23" s="15"/>
      <c r="B23" s="15"/>
      <c r="C23" s="4"/>
      <c r="D23" s="15" t="s">
        <v>13</v>
      </c>
      <c r="E23" s="15"/>
      <c r="F23" s="15" t="s">
        <v>138</v>
      </c>
      <c r="G23" s="15">
        <f t="shared" si="6"/>
        <v>2</v>
      </c>
      <c r="H23" s="15">
        <v>1</v>
      </c>
      <c r="I23" s="15" t="s">
        <v>191</v>
      </c>
      <c r="J23" s="15"/>
      <c r="K23" s="16" t="s">
        <v>115</v>
      </c>
      <c r="L23" s="16"/>
      <c r="M23" s="16" t="s">
        <v>115</v>
      </c>
      <c r="N23" s="16"/>
      <c r="O23" s="16"/>
      <c r="P23" s="37" t="str">
        <f t="shared" si="7"/>
        <v/>
      </c>
      <c r="Q23" s="37" t="str">
        <f t="shared" si="0"/>
        <v/>
      </c>
      <c r="R23" s="37" t="str">
        <f t="shared" si="1"/>
        <v/>
      </c>
      <c r="S23" s="37" t="str">
        <f t="shared" si="2"/>
        <v/>
      </c>
      <c r="T23" s="37" t="str">
        <f t="shared" si="3"/>
        <v/>
      </c>
      <c r="U23" s="37" t="str">
        <f t="shared" si="4"/>
        <v/>
      </c>
      <c r="V23" s="43" t="str">
        <f t="shared" si="5"/>
        <v/>
      </c>
      <c r="W23" s="22"/>
      <c r="X23" s="22"/>
      <c r="Y23" s="15"/>
      <c r="Z23" s="15"/>
      <c r="AA23" s="63"/>
      <c r="AB23" s="63"/>
      <c r="AC23" s="22"/>
      <c r="AD23" s="22"/>
      <c r="AE23" s="63"/>
      <c r="AF23" s="22"/>
      <c r="AG23" s="15"/>
      <c r="AH23" s="15"/>
      <c r="AI23" s="15"/>
      <c r="AJ23" s="15"/>
      <c r="AK23" s="22"/>
      <c r="AL23" s="22"/>
      <c r="AM23" s="22"/>
      <c r="AN23" s="22"/>
      <c r="AO23" s="15"/>
      <c r="AP23" s="15"/>
      <c r="AQ23" s="15"/>
      <c r="AR23" s="15"/>
      <c r="AS23" s="22"/>
      <c r="AT23" s="22"/>
      <c r="AU23" s="22"/>
      <c r="AV23" s="22"/>
      <c r="AW23" s="15"/>
      <c r="AX23" s="15"/>
      <c r="AY23" s="15"/>
      <c r="AZ23" s="15"/>
      <c r="BA23" s="22"/>
      <c r="BB23" s="22"/>
      <c r="BC23" s="22"/>
      <c r="BD23" s="22"/>
      <c r="BE23" s="15"/>
      <c r="BF23" s="15"/>
      <c r="BG23" s="15"/>
      <c r="BH23" s="15"/>
      <c r="BI23" s="22"/>
      <c r="BJ23" s="22"/>
      <c r="BK23" s="22"/>
      <c r="BL23" s="22"/>
      <c r="BM23" s="15"/>
      <c r="BN23" s="15"/>
      <c r="BO23" s="15"/>
      <c r="BP23" s="15"/>
      <c r="BQ23" s="22"/>
      <c r="BR23" s="22"/>
      <c r="BS23" s="22"/>
      <c r="BT23" s="22"/>
      <c r="BU23" s="15"/>
      <c r="BV23" s="15"/>
      <c r="BW23" s="15"/>
      <c r="BX23" s="15"/>
      <c r="BY23" s="22"/>
      <c r="BZ23" s="22"/>
      <c r="CA23" s="15"/>
      <c r="CB23" s="15"/>
    </row>
    <row r="24" spans="1:80" x14ac:dyDescent="0.3">
      <c r="A24" s="15"/>
      <c r="B24" s="15"/>
      <c r="C24" s="4"/>
      <c r="D24" s="15" t="s">
        <v>19</v>
      </c>
      <c r="E24" s="15"/>
      <c r="F24" s="15" t="s">
        <v>138</v>
      </c>
      <c r="G24" s="15">
        <f t="shared" si="6"/>
        <v>2</v>
      </c>
      <c r="H24" s="15">
        <v>1</v>
      </c>
      <c r="I24" s="15" t="s">
        <v>83</v>
      </c>
      <c r="J24" s="15"/>
      <c r="K24" s="16" t="s">
        <v>115</v>
      </c>
      <c r="L24" s="16"/>
      <c r="M24" s="16"/>
      <c r="N24" s="16"/>
      <c r="O24" s="16"/>
      <c r="P24" s="37" t="str">
        <f t="shared" si="7"/>
        <v/>
      </c>
      <c r="Q24" s="37" t="str">
        <f t="shared" si="0"/>
        <v/>
      </c>
      <c r="R24" s="37" t="str">
        <f t="shared" si="1"/>
        <v/>
      </c>
      <c r="S24" s="37" t="str">
        <f t="shared" si="2"/>
        <v/>
      </c>
      <c r="T24" s="37" t="str">
        <f t="shared" si="3"/>
        <v/>
      </c>
      <c r="U24" s="37" t="str">
        <f t="shared" si="4"/>
        <v/>
      </c>
      <c r="V24" s="43" t="str">
        <f t="shared" si="5"/>
        <v/>
      </c>
      <c r="W24" s="22"/>
      <c r="X24" s="22"/>
      <c r="Y24" s="15"/>
      <c r="Z24" s="15"/>
      <c r="AA24" s="63"/>
      <c r="AB24" s="63"/>
      <c r="AC24" s="22"/>
      <c r="AD24" s="22"/>
      <c r="AE24" s="63"/>
      <c r="AF24" s="22"/>
      <c r="AG24" s="15"/>
      <c r="AH24" s="15"/>
      <c r="AI24" s="15"/>
      <c r="AJ24" s="15"/>
      <c r="AK24" s="22"/>
      <c r="AL24" s="22"/>
      <c r="AM24" s="22"/>
      <c r="AN24" s="22"/>
      <c r="AO24" s="15"/>
      <c r="AP24" s="15"/>
      <c r="AQ24" s="15"/>
      <c r="AR24" s="15"/>
      <c r="AS24" s="22"/>
      <c r="AT24" s="22"/>
      <c r="AU24" s="22"/>
      <c r="AV24" s="22"/>
      <c r="AW24" s="15"/>
      <c r="AX24" s="15"/>
      <c r="AY24" s="15"/>
      <c r="AZ24" s="15"/>
      <c r="BA24" s="22"/>
      <c r="BB24" s="22"/>
      <c r="BC24" s="22"/>
      <c r="BD24" s="22"/>
      <c r="BE24" s="15"/>
      <c r="BF24" s="15"/>
      <c r="BG24" s="15"/>
      <c r="BH24" s="15"/>
      <c r="BI24" s="22"/>
      <c r="BJ24" s="22"/>
      <c r="BK24" s="22"/>
      <c r="BL24" s="22"/>
      <c r="BM24" s="15"/>
      <c r="BN24" s="15"/>
      <c r="BO24" s="15"/>
      <c r="BP24" s="15"/>
      <c r="BQ24" s="22"/>
      <c r="BR24" s="22"/>
      <c r="BS24" s="22"/>
      <c r="BT24" s="22"/>
      <c r="BU24" s="15"/>
      <c r="BV24" s="15"/>
      <c r="BW24" s="15"/>
      <c r="BX24" s="15"/>
      <c r="BY24" s="22"/>
      <c r="BZ24" s="22"/>
      <c r="CA24" s="15"/>
      <c r="CB24" s="15"/>
    </row>
    <row r="25" spans="1:80" ht="15" customHeight="1" x14ac:dyDescent="0.3">
      <c r="A25" s="15"/>
      <c r="B25" s="15"/>
      <c r="C25" s="4"/>
      <c r="D25" s="15" t="s">
        <v>19</v>
      </c>
      <c r="E25" s="15"/>
      <c r="F25" s="15" t="s">
        <v>139</v>
      </c>
      <c r="G25" s="15">
        <f t="shared" si="6"/>
        <v>4</v>
      </c>
      <c r="H25" s="15">
        <v>4</v>
      </c>
      <c r="I25" s="15" t="s">
        <v>83</v>
      </c>
      <c r="J25" s="15" t="s">
        <v>69</v>
      </c>
      <c r="K25" s="16" t="s">
        <v>115</v>
      </c>
      <c r="L25" s="16"/>
      <c r="M25" s="16"/>
      <c r="N25" s="16" t="s">
        <v>115</v>
      </c>
      <c r="O25" s="16"/>
      <c r="P25" s="37" t="str">
        <f t="shared" si="7"/>
        <v/>
      </c>
      <c r="Q25" s="37" t="str">
        <f t="shared" si="0"/>
        <v/>
      </c>
      <c r="R25" s="37" t="str">
        <f t="shared" si="1"/>
        <v/>
      </c>
      <c r="S25" s="37" t="str">
        <f t="shared" si="2"/>
        <v/>
      </c>
      <c r="T25" s="37" t="str">
        <f t="shared" si="3"/>
        <v/>
      </c>
      <c r="U25" s="37" t="str">
        <f t="shared" si="4"/>
        <v/>
      </c>
      <c r="V25" s="43" t="str">
        <f t="shared" si="5"/>
        <v/>
      </c>
      <c r="W25" s="22"/>
      <c r="X25" s="22"/>
      <c r="Y25" s="15"/>
      <c r="Z25" s="15"/>
      <c r="AA25" s="63"/>
      <c r="AB25" s="63"/>
      <c r="AC25" s="22"/>
      <c r="AD25" s="22"/>
      <c r="AE25" s="63"/>
      <c r="AF25" s="22"/>
      <c r="AG25" s="15"/>
      <c r="AH25" s="15"/>
      <c r="AI25" s="15"/>
      <c r="AJ25" s="15"/>
      <c r="AK25" s="22"/>
      <c r="AL25" s="22"/>
      <c r="AM25" s="22"/>
      <c r="AN25" s="22"/>
      <c r="AO25" s="15"/>
      <c r="AP25" s="15"/>
      <c r="AQ25" s="15"/>
      <c r="AR25" s="15"/>
      <c r="AS25" s="22"/>
      <c r="AT25" s="22"/>
      <c r="AU25" s="22"/>
      <c r="AV25" s="22"/>
      <c r="AW25" s="15"/>
      <c r="AX25" s="15"/>
      <c r="AY25" s="15"/>
      <c r="AZ25" s="15"/>
      <c r="BA25" s="22"/>
      <c r="BB25" s="22"/>
      <c r="BC25" s="22"/>
      <c r="BD25" s="22"/>
      <c r="BE25" s="15"/>
      <c r="BF25" s="15"/>
      <c r="BG25" s="15"/>
      <c r="BH25" s="15"/>
      <c r="BI25" s="22"/>
      <c r="BJ25" s="22"/>
      <c r="BK25" s="22"/>
      <c r="BL25" s="22"/>
      <c r="BM25" s="15"/>
      <c r="BN25" s="15"/>
      <c r="BO25" s="15"/>
      <c r="BP25" s="15"/>
      <c r="BQ25" s="22"/>
      <c r="BR25" s="22"/>
      <c r="BS25" s="22"/>
      <c r="BT25" s="22"/>
      <c r="BU25" s="15"/>
      <c r="BV25" s="15"/>
      <c r="BW25" s="15"/>
      <c r="BX25" s="15"/>
      <c r="BY25" s="22"/>
      <c r="BZ25" s="22"/>
      <c r="CA25" s="15"/>
      <c r="CB25" s="15"/>
    </row>
    <row r="26" spans="1:80" x14ac:dyDescent="0.3">
      <c r="A26" s="15"/>
      <c r="B26" s="15"/>
      <c r="C26" s="4"/>
      <c r="D26" s="15" t="s">
        <v>21</v>
      </c>
      <c r="E26" s="15"/>
      <c r="F26" s="15" t="s">
        <v>139</v>
      </c>
      <c r="G26" s="15">
        <f t="shared" si="6"/>
        <v>4</v>
      </c>
      <c r="H26" s="15">
        <v>4</v>
      </c>
      <c r="I26" s="15" t="s">
        <v>134</v>
      </c>
      <c r="J26" s="15" t="s">
        <v>69</v>
      </c>
      <c r="K26" s="16" t="s">
        <v>115</v>
      </c>
      <c r="L26" s="16"/>
      <c r="M26" s="16"/>
      <c r="N26" s="16"/>
      <c r="O26" s="16"/>
      <c r="P26" s="37" t="str">
        <f t="shared" si="7"/>
        <v/>
      </c>
      <c r="Q26" s="37" t="str">
        <f t="shared" si="0"/>
        <v/>
      </c>
      <c r="R26" s="37" t="str">
        <f t="shared" si="1"/>
        <v/>
      </c>
      <c r="S26" s="37" t="str">
        <f t="shared" si="2"/>
        <v/>
      </c>
      <c r="T26" s="37" t="str">
        <f t="shared" si="3"/>
        <v/>
      </c>
      <c r="U26" s="37" t="str">
        <f t="shared" si="4"/>
        <v/>
      </c>
      <c r="V26" s="43" t="str">
        <f t="shared" si="5"/>
        <v/>
      </c>
      <c r="W26" s="22"/>
      <c r="X26" s="22"/>
      <c r="Y26" s="15"/>
      <c r="Z26" s="15"/>
      <c r="AA26" s="63"/>
      <c r="AB26" s="63"/>
      <c r="AC26" s="22"/>
      <c r="AD26" s="22"/>
      <c r="AE26" s="63"/>
      <c r="AF26" s="22"/>
      <c r="AG26" s="15"/>
      <c r="AH26" s="15"/>
      <c r="AI26" s="15"/>
      <c r="AJ26" s="15"/>
      <c r="AK26" s="22"/>
      <c r="AL26" s="22"/>
      <c r="AM26" s="22"/>
      <c r="AN26" s="22"/>
      <c r="AO26" s="15"/>
      <c r="AP26" s="15"/>
      <c r="AQ26" s="15"/>
      <c r="AR26" s="15"/>
      <c r="AS26" s="22"/>
      <c r="AT26" s="22"/>
      <c r="AU26" s="22"/>
      <c r="AV26" s="22"/>
      <c r="AW26" s="15"/>
      <c r="AX26" s="15"/>
      <c r="AY26" s="15"/>
      <c r="AZ26" s="15"/>
      <c r="BA26" s="22"/>
      <c r="BB26" s="22"/>
      <c r="BC26" s="22"/>
      <c r="BD26" s="22"/>
      <c r="BE26" s="15"/>
      <c r="BF26" s="15"/>
      <c r="BG26" s="15"/>
      <c r="BH26" s="15"/>
      <c r="BI26" s="22"/>
      <c r="BJ26" s="22"/>
      <c r="BK26" s="22"/>
      <c r="BL26" s="22"/>
      <c r="BM26" s="15"/>
      <c r="BN26" s="15"/>
      <c r="BO26" s="15"/>
      <c r="BP26" s="15"/>
      <c r="BQ26" s="22"/>
      <c r="BR26" s="22"/>
      <c r="BS26" s="22"/>
      <c r="BT26" s="22"/>
      <c r="BU26" s="15"/>
      <c r="BV26" s="15"/>
      <c r="BW26" s="15"/>
      <c r="BX26" s="15"/>
      <c r="BY26" s="22"/>
      <c r="BZ26" s="22"/>
      <c r="CA26" s="15"/>
      <c r="CB26" s="15"/>
    </row>
    <row r="27" spans="1:80" x14ac:dyDescent="0.3">
      <c r="A27" s="15"/>
      <c r="B27" s="15"/>
      <c r="C27" s="3"/>
      <c r="D27" s="15"/>
      <c r="E27" s="15"/>
      <c r="F27" s="15"/>
      <c r="G27" s="15"/>
      <c r="H27" s="15"/>
      <c r="I27" s="15"/>
      <c r="J27" s="28"/>
      <c r="K27" s="16"/>
      <c r="L27" s="16"/>
      <c r="M27" s="16"/>
      <c r="N27" s="16"/>
      <c r="O27" s="16"/>
      <c r="P27" s="37" t="str">
        <f t="shared" si="7"/>
        <v/>
      </c>
      <c r="Q27" s="37" t="str">
        <f>IF(COUNTIF($W27:$BX27,"A")=0,"",COUNTIF($W27:$BX27,"A"))</f>
        <v/>
      </c>
      <c r="R27" s="37" t="str">
        <f>IF(COUNTIF($W27:$BX27,"C")=0,"",COUNTIF($W27:$BX27,"C"))</f>
        <v/>
      </c>
      <c r="S27" s="37" t="str">
        <f>IF(COUNTIF($W27:$BX27,"D")=0,"",COUNTIF($W27:$BX27,"D"))</f>
        <v/>
      </c>
      <c r="T27" s="37" t="str">
        <f>IF(COUNTIF($W27:$BX27,"P")=0,"",COUNTIF($W27:$BX27,"P"))</f>
        <v/>
      </c>
      <c r="U27" s="37" t="str">
        <f>IF(COUNTIF($W27:$BX27,"R")=0,"",COUNTIF($W27:$BX27,"R"))</f>
        <v/>
      </c>
      <c r="V27" s="43" t="str">
        <f t="shared" si="5"/>
        <v/>
      </c>
      <c r="W27" s="42"/>
      <c r="X27" s="42"/>
      <c r="Y27" s="40"/>
      <c r="Z27" s="40"/>
      <c r="AA27" s="64"/>
      <c r="AB27" s="64"/>
      <c r="AC27" s="22"/>
      <c r="AD27" s="22"/>
      <c r="AE27" s="63"/>
      <c r="AF27" s="22"/>
      <c r="AG27" s="15"/>
      <c r="AH27" s="15"/>
      <c r="AI27" s="15"/>
      <c r="AJ27" s="15"/>
      <c r="AK27" s="22"/>
      <c r="AL27" s="22"/>
      <c r="AM27" s="22"/>
      <c r="AN27" s="22"/>
      <c r="AO27" s="15"/>
      <c r="AP27" s="15"/>
      <c r="AQ27" s="15"/>
      <c r="AR27" s="15"/>
      <c r="AS27" s="22"/>
      <c r="AT27" s="22"/>
      <c r="AU27" s="22"/>
      <c r="AV27" s="22"/>
      <c r="AW27" s="15"/>
      <c r="AX27" s="15"/>
      <c r="AY27" s="15"/>
      <c r="AZ27" s="15"/>
      <c r="BA27" s="22"/>
      <c r="BB27" s="22"/>
      <c r="BC27" s="22"/>
      <c r="BD27" s="22"/>
      <c r="BE27" s="15"/>
      <c r="BF27" s="15"/>
      <c r="BG27" s="15"/>
      <c r="BH27" s="15"/>
      <c r="BI27" s="22"/>
      <c r="BJ27" s="22"/>
      <c r="BK27" s="22"/>
      <c r="BL27" s="22"/>
      <c r="BM27" s="15"/>
      <c r="BN27" s="15"/>
      <c r="BO27" s="15"/>
      <c r="BP27" s="15"/>
      <c r="BQ27" s="22"/>
      <c r="BR27" s="22"/>
      <c r="BS27" s="22"/>
      <c r="BT27" s="22"/>
      <c r="BU27" s="15"/>
      <c r="BV27" s="15"/>
      <c r="BW27" s="15"/>
      <c r="BX27" s="15"/>
      <c r="BY27" s="22"/>
      <c r="BZ27" s="22"/>
      <c r="CA27" s="15"/>
      <c r="CB27" s="15"/>
    </row>
    <row r="28" spans="1:80" x14ac:dyDescent="0.3">
      <c r="A28" s="15"/>
      <c r="B28" s="15"/>
      <c r="C28" s="3"/>
      <c r="D28" s="15"/>
      <c r="E28" s="15"/>
      <c r="F28" s="15"/>
      <c r="G28" s="15"/>
      <c r="H28" s="15"/>
      <c r="I28" s="15"/>
      <c r="J28" s="28"/>
      <c r="K28" s="16"/>
      <c r="L28" s="16"/>
      <c r="M28" s="16"/>
      <c r="N28" s="16"/>
      <c r="O28" s="16"/>
      <c r="P28" s="37" t="str">
        <f t="shared" si="7"/>
        <v/>
      </c>
      <c r="Q28" s="37" t="str">
        <f>IF(COUNTIF($W28:$BX28,"A")=0,"",COUNTIF($W28:$BX28,"A"))</f>
        <v/>
      </c>
      <c r="R28" s="37" t="str">
        <f>IF(COUNTIF($W28:$BX28,"C")=0,"",COUNTIF($W28:$BX28,"C"))</f>
        <v/>
      </c>
      <c r="S28" s="37" t="str">
        <f>IF(COUNTIF($W28:$BX28,"D")=0,"",COUNTIF($W28:$BX28,"D"))</f>
        <v/>
      </c>
      <c r="T28" s="37" t="str">
        <f>IF(COUNTIF($W28:$BX28,"P")=0,"",COUNTIF($W28:$BX28,"P"))</f>
        <v/>
      </c>
      <c r="U28" s="37" t="str">
        <f>IF(COUNTIF($W28:$BX28,"R")=0,"",COUNTIF($W28:$BX28,"R"))</f>
        <v/>
      </c>
      <c r="V28" s="43" t="str">
        <f t="shared" si="5"/>
        <v/>
      </c>
      <c r="W28" s="42"/>
      <c r="X28" s="42"/>
      <c r="Y28" s="40"/>
      <c r="Z28" s="40"/>
      <c r="AA28" s="64"/>
      <c r="AB28" s="64"/>
      <c r="AC28" s="22"/>
      <c r="AD28" s="22"/>
      <c r="AE28" s="63"/>
      <c r="AF28" s="22"/>
      <c r="AG28" s="15"/>
      <c r="AH28" s="15"/>
      <c r="AI28" s="15"/>
      <c r="AJ28" s="15"/>
      <c r="AK28" s="22"/>
      <c r="AL28" s="22"/>
      <c r="AM28" s="22"/>
      <c r="AN28" s="22"/>
      <c r="AO28" s="15"/>
      <c r="AP28" s="15"/>
      <c r="AQ28" s="15"/>
      <c r="AR28" s="15"/>
      <c r="AS28" s="22"/>
      <c r="AT28" s="22"/>
      <c r="AU28" s="22"/>
      <c r="AV28" s="22"/>
      <c r="AW28" s="15"/>
      <c r="AX28" s="15"/>
      <c r="AY28" s="15"/>
      <c r="AZ28" s="15"/>
      <c r="BA28" s="22"/>
      <c r="BB28" s="22"/>
      <c r="BC28" s="22"/>
      <c r="BD28" s="22"/>
      <c r="BE28" s="15"/>
      <c r="BF28" s="15"/>
      <c r="BG28" s="15"/>
      <c r="BH28" s="15"/>
      <c r="BI28" s="22"/>
      <c r="BJ28" s="22"/>
      <c r="BK28" s="22"/>
      <c r="BL28" s="22"/>
      <c r="BM28" s="15"/>
      <c r="BN28" s="15"/>
      <c r="BO28" s="15"/>
      <c r="BP28" s="15"/>
      <c r="BQ28" s="22"/>
      <c r="BR28" s="22"/>
      <c r="BS28" s="22"/>
      <c r="BT28" s="22"/>
      <c r="BU28" s="15"/>
      <c r="BV28" s="15"/>
      <c r="BW28" s="15"/>
      <c r="BX28" s="15"/>
      <c r="BY28" s="22"/>
      <c r="BZ28" s="22"/>
      <c r="CA28" s="15"/>
      <c r="CB28" s="15"/>
    </row>
    <row r="29" spans="1:80" x14ac:dyDescent="0.3"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</row>
    <row r="30" spans="1:80" x14ac:dyDescent="0.3">
      <c r="V30" s="58" t="s">
        <v>284</v>
      </c>
      <c r="W30" s="58" t="str">
        <f t="shared" ref="W30:BB30" si="8">IF(COUNTIF(W$4:W$28,$V$30)=0,"",COUNTIF(W$4:W$28,$V$30))</f>
        <v/>
      </c>
      <c r="X30" s="58">
        <f t="shared" si="8"/>
        <v>1</v>
      </c>
      <c r="Y30" s="58">
        <f t="shared" si="8"/>
        <v>2</v>
      </c>
      <c r="Z30" s="58">
        <f t="shared" si="8"/>
        <v>2</v>
      </c>
      <c r="AA30" s="45" t="str">
        <f t="shared" si="8"/>
        <v/>
      </c>
      <c r="AB30" s="45" t="str">
        <f t="shared" si="8"/>
        <v/>
      </c>
      <c r="AC30" s="61">
        <f t="shared" si="8"/>
        <v>5</v>
      </c>
      <c r="AD30" s="60">
        <f t="shared" si="8"/>
        <v>5</v>
      </c>
      <c r="AE30" s="62" t="str">
        <f t="shared" si="8"/>
        <v/>
      </c>
      <c r="AF30" s="59">
        <f t="shared" si="8"/>
        <v>5</v>
      </c>
      <c r="AG30" s="61">
        <f t="shared" si="8"/>
        <v>2</v>
      </c>
      <c r="AH30" s="60">
        <f t="shared" si="8"/>
        <v>2</v>
      </c>
      <c r="AI30" s="60">
        <f t="shared" si="8"/>
        <v>2</v>
      </c>
      <c r="AJ30" s="59">
        <f t="shared" si="8"/>
        <v>2</v>
      </c>
      <c r="AK30" s="61">
        <f t="shared" si="8"/>
        <v>3</v>
      </c>
      <c r="AL30" s="60">
        <f t="shared" si="8"/>
        <v>4</v>
      </c>
      <c r="AM30" s="60">
        <f t="shared" si="8"/>
        <v>3</v>
      </c>
      <c r="AN30" s="59">
        <f t="shared" si="8"/>
        <v>3</v>
      </c>
      <c r="AO30" s="61">
        <f t="shared" si="8"/>
        <v>4</v>
      </c>
      <c r="AP30" s="60">
        <f t="shared" si="8"/>
        <v>4</v>
      </c>
      <c r="AQ30" s="60">
        <f t="shared" si="8"/>
        <v>3</v>
      </c>
      <c r="AR30" s="59">
        <f t="shared" si="8"/>
        <v>2</v>
      </c>
      <c r="AS30" s="61">
        <f t="shared" si="8"/>
        <v>2</v>
      </c>
      <c r="AT30" s="60">
        <f t="shared" si="8"/>
        <v>2</v>
      </c>
      <c r="AU30" s="60">
        <f t="shared" si="8"/>
        <v>1</v>
      </c>
      <c r="AV30" s="59">
        <f t="shared" si="8"/>
        <v>2</v>
      </c>
      <c r="AW30" s="61">
        <f t="shared" si="8"/>
        <v>2</v>
      </c>
      <c r="AX30" s="60">
        <f t="shared" si="8"/>
        <v>3</v>
      </c>
      <c r="AY30" s="60">
        <f t="shared" si="8"/>
        <v>2</v>
      </c>
      <c r="AZ30" s="59">
        <f t="shared" si="8"/>
        <v>2</v>
      </c>
      <c r="BA30" s="61">
        <f t="shared" si="8"/>
        <v>2</v>
      </c>
      <c r="BB30" s="60">
        <f t="shared" si="8"/>
        <v>2</v>
      </c>
      <c r="BC30" s="60">
        <f t="shared" ref="BC30:BZ30" si="9">IF(COUNTIF(BC$4:BC$28,$V$30)=0,"",COUNTIF(BC$4:BC$28,$V$30))</f>
        <v>2</v>
      </c>
      <c r="BD30" s="59">
        <f t="shared" si="9"/>
        <v>2</v>
      </c>
      <c r="BE30" s="61">
        <f t="shared" si="9"/>
        <v>1</v>
      </c>
      <c r="BF30" s="60">
        <f t="shared" si="9"/>
        <v>1</v>
      </c>
      <c r="BG30" s="60">
        <f t="shared" si="9"/>
        <v>1</v>
      </c>
      <c r="BH30" s="59">
        <f t="shared" si="9"/>
        <v>1</v>
      </c>
      <c r="BI30" s="61">
        <f t="shared" si="9"/>
        <v>1</v>
      </c>
      <c r="BJ30" s="60">
        <f t="shared" si="9"/>
        <v>2</v>
      </c>
      <c r="BK30" s="60">
        <f t="shared" si="9"/>
        <v>1</v>
      </c>
      <c r="BL30" s="59">
        <f t="shared" si="9"/>
        <v>1</v>
      </c>
      <c r="BM30" s="61" t="str">
        <f t="shared" si="9"/>
        <v/>
      </c>
      <c r="BN30" s="60" t="str">
        <f t="shared" si="9"/>
        <v/>
      </c>
      <c r="BO30" s="60" t="str">
        <f t="shared" si="9"/>
        <v/>
      </c>
      <c r="BP30" s="59" t="str">
        <f t="shared" si="9"/>
        <v/>
      </c>
      <c r="BQ30" s="61" t="str">
        <f t="shared" si="9"/>
        <v/>
      </c>
      <c r="BR30" s="60" t="str">
        <f t="shared" si="9"/>
        <v/>
      </c>
      <c r="BS30" s="60" t="str">
        <f t="shared" si="9"/>
        <v/>
      </c>
      <c r="BT30" s="59">
        <f t="shared" si="9"/>
        <v>1</v>
      </c>
      <c r="BU30" s="61">
        <f t="shared" si="9"/>
        <v>1</v>
      </c>
      <c r="BV30" s="60">
        <f t="shared" si="9"/>
        <v>1</v>
      </c>
      <c r="BW30" s="60" t="str">
        <f t="shared" si="9"/>
        <v/>
      </c>
      <c r="BX30" s="59" t="str">
        <f t="shared" si="9"/>
        <v/>
      </c>
      <c r="BY30" s="58" t="str">
        <f t="shared" si="9"/>
        <v/>
      </c>
      <c r="BZ30" s="58" t="str">
        <f t="shared" si="9"/>
        <v/>
      </c>
    </row>
    <row r="31" spans="1:80" x14ac:dyDescent="0.3">
      <c r="V31" s="13" t="s">
        <v>297</v>
      </c>
      <c r="W31" s="13" t="str">
        <f t="shared" ref="W31:BB31" si="10">IF(COUNTIF(W$4:W$28,$V$31)=0,"",COUNTIF(W$4:W$28,$V$31))</f>
        <v/>
      </c>
      <c r="X31" s="13" t="str">
        <f t="shared" si="10"/>
        <v/>
      </c>
      <c r="Y31" s="13" t="str">
        <f t="shared" si="10"/>
        <v/>
      </c>
      <c r="Z31" s="13" t="str">
        <f t="shared" si="10"/>
        <v/>
      </c>
      <c r="AA31" s="45" t="str">
        <f t="shared" si="10"/>
        <v/>
      </c>
      <c r="AB31" s="45" t="str">
        <f t="shared" si="10"/>
        <v/>
      </c>
      <c r="AC31" s="51" t="str">
        <f t="shared" si="10"/>
        <v/>
      </c>
      <c r="AD31" s="13" t="str">
        <f t="shared" si="10"/>
        <v/>
      </c>
      <c r="AE31" s="45" t="str">
        <f t="shared" si="10"/>
        <v/>
      </c>
      <c r="AF31" s="50">
        <f t="shared" si="10"/>
        <v>1</v>
      </c>
      <c r="AG31" s="51">
        <f t="shared" si="10"/>
        <v>4</v>
      </c>
      <c r="AH31" s="13">
        <f t="shared" si="10"/>
        <v>3</v>
      </c>
      <c r="AI31" s="13" t="str">
        <f t="shared" si="10"/>
        <v/>
      </c>
      <c r="AJ31" s="50">
        <f t="shared" si="10"/>
        <v>1</v>
      </c>
      <c r="AK31" s="51">
        <f t="shared" si="10"/>
        <v>1</v>
      </c>
      <c r="AL31" s="13">
        <f t="shared" si="10"/>
        <v>1</v>
      </c>
      <c r="AM31" s="13">
        <f t="shared" si="10"/>
        <v>2</v>
      </c>
      <c r="AN31" s="50">
        <f t="shared" si="10"/>
        <v>2</v>
      </c>
      <c r="AO31" s="51" t="str">
        <f t="shared" si="10"/>
        <v/>
      </c>
      <c r="AP31" s="13" t="str">
        <f t="shared" si="10"/>
        <v/>
      </c>
      <c r="AQ31" s="13">
        <f t="shared" si="10"/>
        <v>2</v>
      </c>
      <c r="AR31" s="50">
        <f t="shared" si="10"/>
        <v>3</v>
      </c>
      <c r="AS31" s="51">
        <f t="shared" si="10"/>
        <v>3</v>
      </c>
      <c r="AT31" s="13" t="str">
        <f t="shared" si="10"/>
        <v/>
      </c>
      <c r="AU31" s="13">
        <f t="shared" si="10"/>
        <v>1</v>
      </c>
      <c r="AV31" s="50">
        <f t="shared" si="10"/>
        <v>1</v>
      </c>
      <c r="AW31" s="51">
        <f t="shared" si="10"/>
        <v>2</v>
      </c>
      <c r="AX31" s="13">
        <f t="shared" si="10"/>
        <v>1</v>
      </c>
      <c r="AY31" s="13">
        <f t="shared" si="10"/>
        <v>1</v>
      </c>
      <c r="AZ31" s="50">
        <f t="shared" si="10"/>
        <v>1</v>
      </c>
      <c r="BA31" s="51" t="str">
        <f t="shared" si="10"/>
        <v/>
      </c>
      <c r="BB31" s="13">
        <f t="shared" si="10"/>
        <v>1</v>
      </c>
      <c r="BC31" s="13">
        <f t="shared" ref="BC31:BZ31" si="11">IF(COUNTIF(BC$4:BC$28,$V$31)=0,"",COUNTIF(BC$4:BC$28,$V$31))</f>
        <v>1</v>
      </c>
      <c r="BD31" s="50">
        <f t="shared" si="11"/>
        <v>1</v>
      </c>
      <c r="BE31" s="51">
        <f t="shared" si="11"/>
        <v>1</v>
      </c>
      <c r="BF31" s="13">
        <f t="shared" si="11"/>
        <v>1</v>
      </c>
      <c r="BG31" s="13">
        <f t="shared" si="11"/>
        <v>1</v>
      </c>
      <c r="BH31" s="50">
        <f t="shared" si="11"/>
        <v>1</v>
      </c>
      <c r="BI31" s="51">
        <f t="shared" si="11"/>
        <v>1</v>
      </c>
      <c r="BJ31" s="13" t="str">
        <f t="shared" si="11"/>
        <v/>
      </c>
      <c r="BK31" s="13">
        <f t="shared" si="11"/>
        <v>1</v>
      </c>
      <c r="BL31" s="50">
        <f t="shared" si="11"/>
        <v>1</v>
      </c>
      <c r="BM31" s="51">
        <f t="shared" si="11"/>
        <v>1</v>
      </c>
      <c r="BN31" s="13">
        <f t="shared" si="11"/>
        <v>1</v>
      </c>
      <c r="BO31" s="13" t="str">
        <f t="shared" si="11"/>
        <v/>
      </c>
      <c r="BP31" s="50" t="str">
        <f t="shared" si="11"/>
        <v/>
      </c>
      <c r="BQ31" s="51" t="str">
        <f t="shared" si="11"/>
        <v/>
      </c>
      <c r="BR31" s="13" t="str">
        <f t="shared" si="11"/>
        <v/>
      </c>
      <c r="BS31" s="13" t="str">
        <f t="shared" si="11"/>
        <v/>
      </c>
      <c r="BT31" s="50" t="str">
        <f t="shared" si="11"/>
        <v/>
      </c>
      <c r="BU31" s="51" t="str">
        <f t="shared" si="11"/>
        <v/>
      </c>
      <c r="BV31" s="13" t="str">
        <f t="shared" si="11"/>
        <v/>
      </c>
      <c r="BW31" s="13">
        <f t="shared" si="11"/>
        <v>1</v>
      </c>
      <c r="BX31" s="50">
        <f t="shared" si="11"/>
        <v>1</v>
      </c>
      <c r="BY31" s="13" t="str">
        <f t="shared" si="11"/>
        <v/>
      </c>
      <c r="BZ31" s="13" t="str">
        <f t="shared" si="11"/>
        <v/>
      </c>
    </row>
    <row r="32" spans="1:80" x14ac:dyDescent="0.3">
      <c r="V32" s="55" t="s">
        <v>282</v>
      </c>
      <c r="W32" s="55" t="str">
        <f t="shared" ref="W32:BB32" si="12">IF(COUNTIF(W$4:W$28,$V$32)=0,"",COUNTIF(W$4:W$28,$V$32))</f>
        <v/>
      </c>
      <c r="X32" s="55" t="str">
        <f t="shared" si="12"/>
        <v/>
      </c>
      <c r="Y32" s="55" t="str">
        <f t="shared" si="12"/>
        <v/>
      </c>
      <c r="Z32" s="55" t="str">
        <f t="shared" si="12"/>
        <v/>
      </c>
      <c r="AA32" s="45" t="str">
        <f t="shared" si="12"/>
        <v/>
      </c>
      <c r="AB32" s="45" t="str">
        <f t="shared" si="12"/>
        <v/>
      </c>
      <c r="AC32" s="57" t="str">
        <f t="shared" si="12"/>
        <v/>
      </c>
      <c r="AD32" s="55" t="str">
        <f t="shared" si="12"/>
        <v/>
      </c>
      <c r="AE32" s="45" t="str">
        <f t="shared" si="12"/>
        <v/>
      </c>
      <c r="AF32" s="56" t="str">
        <f t="shared" si="12"/>
        <v/>
      </c>
      <c r="AG32" s="57" t="str">
        <f t="shared" si="12"/>
        <v/>
      </c>
      <c r="AH32" s="55">
        <f t="shared" si="12"/>
        <v>1</v>
      </c>
      <c r="AI32" s="55">
        <f t="shared" si="12"/>
        <v>4</v>
      </c>
      <c r="AJ32" s="56">
        <f t="shared" si="12"/>
        <v>4</v>
      </c>
      <c r="AK32" s="57">
        <f t="shared" si="12"/>
        <v>3</v>
      </c>
      <c r="AL32" s="55">
        <f t="shared" si="12"/>
        <v>3</v>
      </c>
      <c r="AM32" s="55">
        <f t="shared" si="12"/>
        <v>2</v>
      </c>
      <c r="AN32" s="56">
        <f t="shared" si="12"/>
        <v>2</v>
      </c>
      <c r="AO32" s="57">
        <f t="shared" si="12"/>
        <v>3</v>
      </c>
      <c r="AP32" s="55">
        <f t="shared" si="12"/>
        <v>3</v>
      </c>
      <c r="AQ32" s="55">
        <f t="shared" si="12"/>
        <v>1</v>
      </c>
      <c r="AR32" s="56">
        <f t="shared" si="12"/>
        <v>1</v>
      </c>
      <c r="AS32" s="57">
        <f t="shared" si="12"/>
        <v>1</v>
      </c>
      <c r="AT32" s="55">
        <f t="shared" si="12"/>
        <v>2</v>
      </c>
      <c r="AU32" s="55">
        <f t="shared" si="12"/>
        <v>3</v>
      </c>
      <c r="AV32" s="56">
        <f t="shared" si="12"/>
        <v>4</v>
      </c>
      <c r="AW32" s="57">
        <f t="shared" si="12"/>
        <v>4</v>
      </c>
      <c r="AX32" s="55">
        <f t="shared" si="12"/>
        <v>4</v>
      </c>
      <c r="AY32" s="55">
        <f t="shared" si="12"/>
        <v>4</v>
      </c>
      <c r="AZ32" s="56">
        <f t="shared" si="12"/>
        <v>3</v>
      </c>
      <c r="BA32" s="57">
        <f t="shared" si="12"/>
        <v>2</v>
      </c>
      <c r="BB32" s="55">
        <f t="shared" si="12"/>
        <v>4</v>
      </c>
      <c r="BC32" s="55">
        <f t="shared" ref="BC32:BZ32" si="13">IF(COUNTIF(BC$4:BC$28,$V$32)=0,"",COUNTIF(BC$4:BC$28,$V$32))</f>
        <v>4</v>
      </c>
      <c r="BD32" s="56">
        <f t="shared" si="13"/>
        <v>4</v>
      </c>
      <c r="BE32" s="57">
        <f t="shared" si="13"/>
        <v>3</v>
      </c>
      <c r="BF32" s="55">
        <f t="shared" si="13"/>
        <v>2</v>
      </c>
      <c r="BG32" s="55">
        <f t="shared" si="13"/>
        <v>2</v>
      </c>
      <c r="BH32" s="56">
        <f t="shared" si="13"/>
        <v>2</v>
      </c>
      <c r="BI32" s="57">
        <f t="shared" si="13"/>
        <v>2</v>
      </c>
      <c r="BJ32" s="55">
        <f t="shared" si="13"/>
        <v>3</v>
      </c>
      <c r="BK32" s="55">
        <f t="shared" si="13"/>
        <v>3</v>
      </c>
      <c r="BL32" s="56">
        <f t="shared" si="13"/>
        <v>3</v>
      </c>
      <c r="BM32" s="57">
        <f t="shared" si="13"/>
        <v>3</v>
      </c>
      <c r="BN32" s="55">
        <f t="shared" si="13"/>
        <v>3</v>
      </c>
      <c r="BO32" s="55">
        <f t="shared" si="13"/>
        <v>4</v>
      </c>
      <c r="BP32" s="56">
        <f t="shared" si="13"/>
        <v>2</v>
      </c>
      <c r="BQ32" s="57" t="str">
        <f t="shared" si="13"/>
        <v/>
      </c>
      <c r="BR32" s="55" t="str">
        <f t="shared" si="13"/>
        <v/>
      </c>
      <c r="BS32" s="55" t="str">
        <f t="shared" si="13"/>
        <v/>
      </c>
      <c r="BT32" s="56" t="str">
        <f t="shared" si="13"/>
        <v/>
      </c>
      <c r="BU32" s="57" t="str">
        <f t="shared" si="13"/>
        <v/>
      </c>
      <c r="BV32" s="55" t="str">
        <f t="shared" si="13"/>
        <v/>
      </c>
      <c r="BW32" s="55" t="str">
        <f t="shared" si="13"/>
        <v/>
      </c>
      <c r="BX32" s="56" t="str">
        <f t="shared" si="13"/>
        <v/>
      </c>
      <c r="BY32" s="55" t="str">
        <f t="shared" si="13"/>
        <v/>
      </c>
      <c r="BZ32" s="55" t="str">
        <f t="shared" si="13"/>
        <v/>
      </c>
    </row>
    <row r="33" spans="1:81" x14ac:dyDescent="0.3">
      <c r="V33" s="52" t="s">
        <v>283</v>
      </c>
      <c r="W33" s="52" t="str">
        <f t="shared" ref="W33:BB33" si="14">IF(COUNTIF(W$4:W$28,$V$33)=0,"",COUNTIF(W$4:W$28,$V$33))</f>
        <v/>
      </c>
      <c r="X33" s="52" t="str">
        <f t="shared" si="14"/>
        <v/>
      </c>
      <c r="Y33" s="52" t="str">
        <f t="shared" si="14"/>
        <v/>
      </c>
      <c r="Z33" s="52" t="str">
        <f t="shared" si="14"/>
        <v/>
      </c>
      <c r="AA33" s="45" t="str">
        <f t="shared" si="14"/>
        <v/>
      </c>
      <c r="AB33" s="45" t="str">
        <f t="shared" si="14"/>
        <v/>
      </c>
      <c r="AC33" s="54" t="str">
        <f t="shared" si="14"/>
        <v/>
      </c>
      <c r="AD33" s="52" t="str">
        <f t="shared" si="14"/>
        <v/>
      </c>
      <c r="AE33" s="45" t="str">
        <f t="shared" si="14"/>
        <v/>
      </c>
      <c r="AF33" s="53" t="str">
        <f t="shared" si="14"/>
        <v/>
      </c>
      <c r="AG33" s="54" t="str">
        <f t="shared" si="14"/>
        <v/>
      </c>
      <c r="AH33" s="52" t="str">
        <f t="shared" si="14"/>
        <v/>
      </c>
      <c r="AI33" s="52" t="str">
        <f t="shared" si="14"/>
        <v/>
      </c>
      <c r="AJ33" s="53" t="str">
        <f t="shared" si="14"/>
        <v/>
      </c>
      <c r="AK33" s="54">
        <f t="shared" si="14"/>
        <v>1</v>
      </c>
      <c r="AL33" s="52">
        <f t="shared" si="14"/>
        <v>1</v>
      </c>
      <c r="AM33" s="52">
        <f t="shared" si="14"/>
        <v>1</v>
      </c>
      <c r="AN33" s="53">
        <f t="shared" si="14"/>
        <v>1</v>
      </c>
      <c r="AO33" s="54">
        <f t="shared" si="14"/>
        <v>1</v>
      </c>
      <c r="AP33" s="52">
        <f t="shared" si="14"/>
        <v>1</v>
      </c>
      <c r="AQ33" s="52">
        <f t="shared" si="14"/>
        <v>3</v>
      </c>
      <c r="AR33" s="53">
        <f t="shared" si="14"/>
        <v>3</v>
      </c>
      <c r="AS33" s="54">
        <f t="shared" si="14"/>
        <v>2</v>
      </c>
      <c r="AT33" s="52">
        <f t="shared" si="14"/>
        <v>2</v>
      </c>
      <c r="AU33" s="52">
        <f t="shared" si="14"/>
        <v>2</v>
      </c>
      <c r="AV33" s="53">
        <f t="shared" si="14"/>
        <v>1</v>
      </c>
      <c r="AW33" s="54">
        <f t="shared" si="14"/>
        <v>1</v>
      </c>
      <c r="AX33" s="52">
        <f t="shared" si="14"/>
        <v>1</v>
      </c>
      <c r="AY33" s="52">
        <f t="shared" si="14"/>
        <v>1</v>
      </c>
      <c r="AZ33" s="53">
        <f t="shared" si="14"/>
        <v>2</v>
      </c>
      <c r="BA33" s="54">
        <f t="shared" si="14"/>
        <v>4</v>
      </c>
      <c r="BB33" s="52">
        <f t="shared" si="14"/>
        <v>4</v>
      </c>
      <c r="BC33" s="52">
        <f t="shared" ref="BC33:BZ33" si="15">IF(COUNTIF(BC$4:BC$28,$V$33)=0,"",COUNTIF(BC$4:BC$28,$V$33))</f>
        <v>3</v>
      </c>
      <c r="BD33" s="53">
        <f t="shared" si="15"/>
        <v>2</v>
      </c>
      <c r="BE33" s="54">
        <f t="shared" si="15"/>
        <v>4</v>
      </c>
      <c r="BF33" s="52">
        <f t="shared" si="15"/>
        <v>3</v>
      </c>
      <c r="BG33" s="52">
        <f t="shared" si="15"/>
        <v>3</v>
      </c>
      <c r="BH33" s="53">
        <f t="shared" si="15"/>
        <v>3</v>
      </c>
      <c r="BI33" s="54">
        <f t="shared" si="15"/>
        <v>3</v>
      </c>
      <c r="BJ33" s="52">
        <f t="shared" si="15"/>
        <v>2</v>
      </c>
      <c r="BK33" s="52">
        <f t="shared" si="15"/>
        <v>1</v>
      </c>
      <c r="BL33" s="53" t="str">
        <f t="shared" si="15"/>
        <v/>
      </c>
      <c r="BM33" s="54">
        <f t="shared" si="15"/>
        <v>1</v>
      </c>
      <c r="BN33" s="52">
        <f t="shared" si="15"/>
        <v>1</v>
      </c>
      <c r="BO33" s="52">
        <f t="shared" si="15"/>
        <v>1</v>
      </c>
      <c r="BP33" s="53">
        <f t="shared" si="15"/>
        <v>3</v>
      </c>
      <c r="BQ33" s="54">
        <f t="shared" si="15"/>
        <v>5</v>
      </c>
      <c r="BR33" s="52">
        <f t="shared" si="15"/>
        <v>5</v>
      </c>
      <c r="BS33" s="52">
        <f t="shared" si="15"/>
        <v>3</v>
      </c>
      <c r="BT33" s="53">
        <f t="shared" si="15"/>
        <v>2</v>
      </c>
      <c r="BU33" s="54">
        <f t="shared" si="15"/>
        <v>1</v>
      </c>
      <c r="BV33" s="52" t="str">
        <f t="shared" si="15"/>
        <v/>
      </c>
      <c r="BW33" s="52" t="str">
        <f t="shared" si="15"/>
        <v/>
      </c>
      <c r="BX33" s="53" t="str">
        <f t="shared" si="15"/>
        <v/>
      </c>
      <c r="BY33" s="52" t="str">
        <f t="shared" si="15"/>
        <v/>
      </c>
      <c r="BZ33" s="52" t="str">
        <f t="shared" si="15"/>
        <v/>
      </c>
    </row>
    <row r="34" spans="1:81" x14ac:dyDescent="0.3">
      <c r="V34" s="13" t="s">
        <v>170</v>
      </c>
      <c r="W34" s="13" t="str">
        <f t="shared" ref="W34:BB34" si="16">IF(COUNTIF(W$4:W$28,$V$34)=0,"",COUNTIF(W$4:W$28,$V$34))</f>
        <v/>
      </c>
      <c r="X34" s="13" t="str">
        <f t="shared" si="16"/>
        <v/>
      </c>
      <c r="Y34" s="13" t="str">
        <f t="shared" si="16"/>
        <v/>
      </c>
      <c r="Z34" s="13" t="str">
        <f t="shared" si="16"/>
        <v/>
      </c>
      <c r="AA34" s="45" t="str">
        <f t="shared" si="16"/>
        <v/>
      </c>
      <c r="AB34" s="45" t="str">
        <f t="shared" si="16"/>
        <v/>
      </c>
      <c r="AC34" s="51" t="str">
        <f t="shared" si="16"/>
        <v/>
      </c>
      <c r="AD34" s="13" t="str">
        <f t="shared" si="16"/>
        <v/>
      </c>
      <c r="AE34" s="45" t="str">
        <f t="shared" si="16"/>
        <v/>
      </c>
      <c r="AF34" s="50" t="str">
        <f t="shared" si="16"/>
        <v/>
      </c>
      <c r="AG34" s="51" t="str">
        <f t="shared" si="16"/>
        <v/>
      </c>
      <c r="AH34" s="13" t="str">
        <f t="shared" si="16"/>
        <v/>
      </c>
      <c r="AI34" s="13" t="str">
        <f t="shared" si="16"/>
        <v/>
      </c>
      <c r="AJ34" s="50" t="str">
        <f t="shared" si="16"/>
        <v/>
      </c>
      <c r="AK34" s="51" t="str">
        <f t="shared" si="16"/>
        <v/>
      </c>
      <c r="AL34" s="13" t="str">
        <f t="shared" si="16"/>
        <v/>
      </c>
      <c r="AM34" s="13">
        <f t="shared" si="16"/>
        <v>1</v>
      </c>
      <c r="AN34" s="50">
        <f t="shared" si="16"/>
        <v>1</v>
      </c>
      <c r="AO34" s="51" t="str">
        <f t="shared" si="16"/>
        <v/>
      </c>
      <c r="AP34" s="13" t="str">
        <f t="shared" si="16"/>
        <v/>
      </c>
      <c r="AQ34" s="13">
        <f t="shared" si="16"/>
        <v>1</v>
      </c>
      <c r="AR34" s="50">
        <f t="shared" si="16"/>
        <v>1</v>
      </c>
      <c r="AS34" s="51">
        <f t="shared" si="16"/>
        <v>2</v>
      </c>
      <c r="AT34" s="13">
        <f t="shared" si="16"/>
        <v>2</v>
      </c>
      <c r="AU34" s="13">
        <f t="shared" si="16"/>
        <v>1</v>
      </c>
      <c r="AV34" s="50">
        <f t="shared" si="16"/>
        <v>2</v>
      </c>
      <c r="AW34" s="51">
        <f t="shared" si="16"/>
        <v>2</v>
      </c>
      <c r="AX34" s="13">
        <f t="shared" si="16"/>
        <v>2</v>
      </c>
      <c r="AY34" s="13">
        <f t="shared" si="16"/>
        <v>2</v>
      </c>
      <c r="AZ34" s="50">
        <f t="shared" si="16"/>
        <v>2</v>
      </c>
      <c r="BA34" s="51">
        <f t="shared" si="16"/>
        <v>1</v>
      </c>
      <c r="BB34" s="13" t="str">
        <f t="shared" si="16"/>
        <v/>
      </c>
      <c r="BC34" s="13">
        <f t="shared" ref="BC34:BZ34" si="17">IF(COUNTIF(BC$4:BC$28,$V$34)=0,"",COUNTIF(BC$4:BC$28,$V$34))</f>
        <v>1</v>
      </c>
      <c r="BD34" s="50">
        <f t="shared" si="17"/>
        <v>2</v>
      </c>
      <c r="BE34" s="51">
        <f t="shared" si="17"/>
        <v>2</v>
      </c>
      <c r="BF34" s="13">
        <f t="shared" si="17"/>
        <v>4</v>
      </c>
      <c r="BG34" s="13">
        <f t="shared" si="17"/>
        <v>2</v>
      </c>
      <c r="BH34" s="50">
        <f t="shared" si="17"/>
        <v>3</v>
      </c>
      <c r="BI34" s="51">
        <f t="shared" si="17"/>
        <v>3</v>
      </c>
      <c r="BJ34" s="13">
        <f t="shared" si="17"/>
        <v>2</v>
      </c>
      <c r="BK34" s="13">
        <f t="shared" si="17"/>
        <v>2</v>
      </c>
      <c r="BL34" s="50">
        <f t="shared" si="17"/>
        <v>3</v>
      </c>
      <c r="BM34" s="51">
        <f t="shared" si="17"/>
        <v>3</v>
      </c>
      <c r="BN34" s="13">
        <f t="shared" si="17"/>
        <v>2</v>
      </c>
      <c r="BO34" s="13">
        <f t="shared" si="17"/>
        <v>1</v>
      </c>
      <c r="BP34" s="50" t="str">
        <f t="shared" si="17"/>
        <v/>
      </c>
      <c r="BQ34" s="51" t="str">
        <f t="shared" si="17"/>
        <v/>
      </c>
      <c r="BR34" s="13" t="str">
        <f t="shared" si="17"/>
        <v/>
      </c>
      <c r="BS34" s="13">
        <f t="shared" si="17"/>
        <v>2</v>
      </c>
      <c r="BT34" s="50">
        <f t="shared" si="17"/>
        <v>3</v>
      </c>
      <c r="BU34" s="51">
        <f t="shared" si="17"/>
        <v>4</v>
      </c>
      <c r="BV34" s="13">
        <f t="shared" si="17"/>
        <v>5</v>
      </c>
      <c r="BW34" s="13">
        <f t="shared" si="17"/>
        <v>2</v>
      </c>
      <c r="BX34" s="50">
        <f t="shared" si="17"/>
        <v>2</v>
      </c>
      <c r="BY34" s="13">
        <f t="shared" si="17"/>
        <v>2</v>
      </c>
      <c r="BZ34" s="13" t="str">
        <f t="shared" si="17"/>
        <v/>
      </c>
    </row>
    <row r="35" spans="1:81" x14ac:dyDescent="0.3">
      <c r="W35" s="13">
        <f t="shared" ref="W35:BZ35" si="18">SUM(W30:W34)</f>
        <v>0</v>
      </c>
      <c r="X35" s="13">
        <f t="shared" si="18"/>
        <v>1</v>
      </c>
      <c r="Y35" s="13">
        <f t="shared" si="18"/>
        <v>2</v>
      </c>
      <c r="Z35" s="13">
        <f t="shared" si="18"/>
        <v>2</v>
      </c>
      <c r="AA35" s="45">
        <f t="shared" si="18"/>
        <v>0</v>
      </c>
      <c r="AB35" s="45">
        <f t="shared" si="18"/>
        <v>0</v>
      </c>
      <c r="AC35" s="48">
        <f t="shared" si="18"/>
        <v>5</v>
      </c>
      <c r="AD35" s="47">
        <f t="shared" si="18"/>
        <v>5</v>
      </c>
      <c r="AE35" s="49">
        <f t="shared" si="18"/>
        <v>0</v>
      </c>
      <c r="AF35" s="46">
        <f t="shared" si="18"/>
        <v>6</v>
      </c>
      <c r="AG35" s="48">
        <f t="shared" si="18"/>
        <v>6</v>
      </c>
      <c r="AH35" s="47">
        <f t="shared" si="18"/>
        <v>6</v>
      </c>
      <c r="AI35" s="47">
        <f t="shared" si="18"/>
        <v>6</v>
      </c>
      <c r="AJ35" s="46">
        <f t="shared" si="18"/>
        <v>7</v>
      </c>
      <c r="AK35" s="48">
        <f t="shared" si="18"/>
        <v>8</v>
      </c>
      <c r="AL35" s="47">
        <f t="shared" si="18"/>
        <v>9</v>
      </c>
      <c r="AM35" s="47">
        <f t="shared" si="18"/>
        <v>9</v>
      </c>
      <c r="AN35" s="46">
        <f t="shared" si="18"/>
        <v>9</v>
      </c>
      <c r="AO35" s="48">
        <f t="shared" si="18"/>
        <v>8</v>
      </c>
      <c r="AP35" s="47">
        <f t="shared" si="18"/>
        <v>8</v>
      </c>
      <c r="AQ35" s="47">
        <f t="shared" si="18"/>
        <v>10</v>
      </c>
      <c r="AR35" s="46">
        <f t="shared" si="18"/>
        <v>10</v>
      </c>
      <c r="AS35" s="48">
        <f t="shared" si="18"/>
        <v>10</v>
      </c>
      <c r="AT35" s="47">
        <f t="shared" si="18"/>
        <v>8</v>
      </c>
      <c r="AU35" s="47">
        <f t="shared" si="18"/>
        <v>8</v>
      </c>
      <c r="AV35" s="46">
        <f t="shared" si="18"/>
        <v>10</v>
      </c>
      <c r="AW35" s="48">
        <f t="shared" si="18"/>
        <v>11</v>
      </c>
      <c r="AX35" s="47">
        <f t="shared" si="18"/>
        <v>11</v>
      </c>
      <c r="AY35" s="47">
        <f t="shared" si="18"/>
        <v>10</v>
      </c>
      <c r="AZ35" s="46">
        <f t="shared" si="18"/>
        <v>10</v>
      </c>
      <c r="BA35" s="48">
        <f t="shared" si="18"/>
        <v>9</v>
      </c>
      <c r="BB35" s="47">
        <f t="shared" si="18"/>
        <v>11</v>
      </c>
      <c r="BC35" s="47">
        <f t="shared" si="18"/>
        <v>11</v>
      </c>
      <c r="BD35" s="46">
        <f t="shared" si="18"/>
        <v>11</v>
      </c>
      <c r="BE35" s="48">
        <f t="shared" si="18"/>
        <v>11</v>
      </c>
      <c r="BF35" s="47">
        <f t="shared" si="18"/>
        <v>11</v>
      </c>
      <c r="BG35" s="47">
        <f t="shared" si="18"/>
        <v>9</v>
      </c>
      <c r="BH35" s="46">
        <f t="shared" si="18"/>
        <v>10</v>
      </c>
      <c r="BI35" s="48">
        <f t="shared" si="18"/>
        <v>10</v>
      </c>
      <c r="BJ35" s="47">
        <f t="shared" si="18"/>
        <v>9</v>
      </c>
      <c r="BK35" s="47">
        <f t="shared" si="18"/>
        <v>8</v>
      </c>
      <c r="BL35" s="46">
        <f t="shared" si="18"/>
        <v>8</v>
      </c>
      <c r="BM35" s="48">
        <f t="shared" si="18"/>
        <v>8</v>
      </c>
      <c r="BN35" s="47">
        <f t="shared" si="18"/>
        <v>7</v>
      </c>
      <c r="BO35" s="47">
        <f t="shared" si="18"/>
        <v>6</v>
      </c>
      <c r="BP35" s="46">
        <f t="shared" si="18"/>
        <v>5</v>
      </c>
      <c r="BQ35" s="48">
        <f t="shared" si="18"/>
        <v>5</v>
      </c>
      <c r="BR35" s="47">
        <f t="shared" si="18"/>
        <v>5</v>
      </c>
      <c r="BS35" s="47">
        <f t="shared" si="18"/>
        <v>5</v>
      </c>
      <c r="BT35" s="46">
        <f t="shared" si="18"/>
        <v>6</v>
      </c>
      <c r="BU35" s="48">
        <f t="shared" si="18"/>
        <v>6</v>
      </c>
      <c r="BV35" s="47">
        <f t="shared" si="18"/>
        <v>6</v>
      </c>
      <c r="BW35" s="47">
        <f t="shared" si="18"/>
        <v>3</v>
      </c>
      <c r="BX35" s="46">
        <f t="shared" si="18"/>
        <v>3</v>
      </c>
      <c r="BY35" s="13">
        <f t="shared" si="18"/>
        <v>2</v>
      </c>
      <c r="BZ35" s="13">
        <f t="shared" si="18"/>
        <v>0</v>
      </c>
    </row>
    <row r="36" spans="1:81" x14ac:dyDescent="0.3">
      <c r="V36" s="44" t="s">
        <v>303</v>
      </c>
      <c r="W36" s="44">
        <f t="shared" ref="W36:BZ36" si="19">SUM(W30,W33)</f>
        <v>0</v>
      </c>
      <c r="X36" s="44">
        <f t="shared" si="19"/>
        <v>1</v>
      </c>
      <c r="Y36" s="44">
        <f t="shared" si="19"/>
        <v>2</v>
      </c>
      <c r="Z36" s="44">
        <f t="shared" si="19"/>
        <v>2</v>
      </c>
      <c r="AA36" s="45">
        <f t="shared" si="19"/>
        <v>0</v>
      </c>
      <c r="AB36" s="45">
        <f t="shared" si="19"/>
        <v>0</v>
      </c>
      <c r="AC36" s="44">
        <f t="shared" si="19"/>
        <v>5</v>
      </c>
      <c r="AD36" s="44">
        <f t="shared" si="19"/>
        <v>5</v>
      </c>
      <c r="AE36" s="45">
        <f t="shared" si="19"/>
        <v>0</v>
      </c>
      <c r="AF36" s="44">
        <f t="shared" si="19"/>
        <v>5</v>
      </c>
      <c r="AG36" s="44">
        <f t="shared" si="19"/>
        <v>2</v>
      </c>
      <c r="AH36" s="44">
        <f t="shared" si="19"/>
        <v>2</v>
      </c>
      <c r="AI36" s="44">
        <f t="shared" si="19"/>
        <v>2</v>
      </c>
      <c r="AJ36" s="44">
        <f t="shared" si="19"/>
        <v>2</v>
      </c>
      <c r="AK36" s="44">
        <f t="shared" si="19"/>
        <v>4</v>
      </c>
      <c r="AL36" s="44">
        <f t="shared" si="19"/>
        <v>5</v>
      </c>
      <c r="AM36" s="44">
        <f t="shared" si="19"/>
        <v>4</v>
      </c>
      <c r="AN36" s="44">
        <f t="shared" si="19"/>
        <v>4</v>
      </c>
      <c r="AO36" s="44">
        <f t="shared" si="19"/>
        <v>5</v>
      </c>
      <c r="AP36" s="44">
        <f t="shared" si="19"/>
        <v>5</v>
      </c>
      <c r="AQ36" s="44">
        <f t="shared" si="19"/>
        <v>6</v>
      </c>
      <c r="AR36" s="44">
        <f t="shared" si="19"/>
        <v>5</v>
      </c>
      <c r="AS36" s="44">
        <f t="shared" si="19"/>
        <v>4</v>
      </c>
      <c r="AT36" s="44">
        <f t="shared" si="19"/>
        <v>4</v>
      </c>
      <c r="AU36" s="44">
        <f t="shared" si="19"/>
        <v>3</v>
      </c>
      <c r="AV36" s="44">
        <f t="shared" si="19"/>
        <v>3</v>
      </c>
      <c r="AW36" s="44">
        <f t="shared" si="19"/>
        <v>3</v>
      </c>
      <c r="AX36" s="44">
        <f t="shared" si="19"/>
        <v>4</v>
      </c>
      <c r="AY36" s="44">
        <f t="shared" si="19"/>
        <v>3</v>
      </c>
      <c r="AZ36" s="44">
        <f t="shared" si="19"/>
        <v>4</v>
      </c>
      <c r="BA36" s="44">
        <f t="shared" si="19"/>
        <v>6</v>
      </c>
      <c r="BB36" s="44">
        <f t="shared" si="19"/>
        <v>6</v>
      </c>
      <c r="BC36" s="44">
        <f t="shared" si="19"/>
        <v>5</v>
      </c>
      <c r="BD36" s="44">
        <f t="shared" si="19"/>
        <v>4</v>
      </c>
      <c r="BE36" s="44">
        <f t="shared" si="19"/>
        <v>5</v>
      </c>
      <c r="BF36" s="44">
        <f t="shared" si="19"/>
        <v>4</v>
      </c>
      <c r="BG36" s="44">
        <f t="shared" si="19"/>
        <v>4</v>
      </c>
      <c r="BH36" s="44">
        <f t="shared" si="19"/>
        <v>4</v>
      </c>
      <c r="BI36" s="44">
        <f t="shared" si="19"/>
        <v>4</v>
      </c>
      <c r="BJ36" s="44">
        <f t="shared" si="19"/>
        <v>4</v>
      </c>
      <c r="BK36" s="44">
        <f t="shared" si="19"/>
        <v>2</v>
      </c>
      <c r="BL36" s="44">
        <f t="shared" si="19"/>
        <v>1</v>
      </c>
      <c r="BM36" s="44">
        <f t="shared" si="19"/>
        <v>1</v>
      </c>
      <c r="BN36" s="44">
        <f t="shared" si="19"/>
        <v>1</v>
      </c>
      <c r="BO36" s="44">
        <f t="shared" si="19"/>
        <v>1</v>
      </c>
      <c r="BP36" s="44">
        <f t="shared" si="19"/>
        <v>3</v>
      </c>
      <c r="BQ36" s="44">
        <f t="shared" si="19"/>
        <v>5</v>
      </c>
      <c r="BR36" s="44">
        <f t="shared" si="19"/>
        <v>5</v>
      </c>
      <c r="BS36" s="44">
        <f t="shared" si="19"/>
        <v>3</v>
      </c>
      <c r="BT36" s="44">
        <f t="shared" si="19"/>
        <v>3</v>
      </c>
      <c r="BU36" s="44">
        <f t="shared" si="19"/>
        <v>2</v>
      </c>
      <c r="BV36" s="44">
        <f t="shared" si="19"/>
        <v>1</v>
      </c>
      <c r="BW36" s="44">
        <f t="shared" si="19"/>
        <v>0</v>
      </c>
      <c r="BX36" s="44">
        <f t="shared" si="19"/>
        <v>0</v>
      </c>
      <c r="BY36" s="44">
        <f t="shared" si="19"/>
        <v>0</v>
      </c>
      <c r="BZ36" s="44">
        <f t="shared" si="19"/>
        <v>0</v>
      </c>
    </row>
    <row r="39" spans="1:81" s="13" customFormat="1" x14ac:dyDescent="0.3">
      <c r="A39" s="5"/>
      <c r="B39" s="5"/>
      <c r="C39" s="5"/>
      <c r="AJ39" s="205" t="s">
        <v>285</v>
      </c>
      <c r="AK39" s="205"/>
      <c r="AL39" s="205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CC39" s="5"/>
    </row>
    <row r="40" spans="1:81" s="13" customFormat="1" x14ac:dyDescent="0.3">
      <c r="A40" s="5"/>
      <c r="B40" s="5"/>
      <c r="C40" s="5"/>
      <c r="AJ40" s="205" t="s">
        <v>286</v>
      </c>
      <c r="AK40" s="205"/>
      <c r="AL40" s="205"/>
      <c r="AM40" s="205"/>
      <c r="AN40" s="205" t="s">
        <v>140</v>
      </c>
      <c r="AO40" s="205"/>
      <c r="AP40" s="205"/>
      <c r="AQ40" s="205"/>
      <c r="AR40" s="205" t="s">
        <v>138</v>
      </c>
      <c r="AS40" s="205"/>
      <c r="AT40" s="205"/>
      <c r="AU40" s="205"/>
      <c r="AV40" s="205" t="s">
        <v>139</v>
      </c>
      <c r="AW40" s="205"/>
      <c r="AX40" s="205"/>
      <c r="AY40" s="205"/>
      <c r="CC40" s="5"/>
    </row>
    <row r="41" spans="1:81" s="13" customFormat="1" x14ac:dyDescent="0.3">
      <c r="A41" s="5"/>
      <c r="B41" s="5"/>
      <c r="C41" s="5"/>
      <c r="AC41" s="205" t="s">
        <v>262</v>
      </c>
      <c r="AD41" s="205"/>
      <c r="AE41" s="205"/>
      <c r="AF41" s="205"/>
      <c r="AG41" s="205"/>
      <c r="AH41" s="205"/>
      <c r="AI41" s="205"/>
      <c r="AJ41" s="195">
        <v>1</v>
      </c>
      <c r="AK41" s="195"/>
      <c r="AL41" s="195"/>
      <c r="AM41" s="195"/>
      <c r="AN41" s="199">
        <v>2</v>
      </c>
      <c r="AO41" s="200"/>
      <c r="AP41" s="200"/>
      <c r="AQ41" s="201"/>
      <c r="AR41" s="195">
        <v>2</v>
      </c>
      <c r="AS41" s="195"/>
      <c r="AT41" s="195"/>
      <c r="AU41" s="195"/>
      <c r="AV41" s="195">
        <v>4</v>
      </c>
      <c r="AW41" s="195"/>
      <c r="AX41" s="195"/>
      <c r="AY41" s="195"/>
      <c r="CC41" s="5"/>
    </row>
    <row r="42" spans="1:81" s="13" customFormat="1" x14ac:dyDescent="0.3">
      <c r="A42" s="5"/>
      <c r="B42" s="5"/>
      <c r="C42" s="5"/>
      <c r="AC42" s="205" t="s">
        <v>263</v>
      </c>
      <c r="AD42" s="205"/>
      <c r="AE42" s="205"/>
      <c r="AF42" s="205"/>
      <c r="AG42" s="205"/>
      <c r="AH42" s="205"/>
      <c r="AI42" s="205"/>
      <c r="AJ42" s="195">
        <v>1</v>
      </c>
      <c r="AK42" s="195"/>
      <c r="AL42" s="195"/>
      <c r="AM42" s="195"/>
      <c r="AN42" s="199">
        <v>2</v>
      </c>
      <c r="AO42" s="200"/>
      <c r="AP42" s="200"/>
      <c r="AQ42" s="201"/>
      <c r="AR42" s="195">
        <v>3</v>
      </c>
      <c r="AS42" s="195"/>
      <c r="AT42" s="195"/>
      <c r="AU42" s="195"/>
      <c r="AV42" s="195">
        <v>6</v>
      </c>
      <c r="AW42" s="195"/>
      <c r="AX42" s="195"/>
      <c r="AY42" s="195"/>
      <c r="CC42" s="5"/>
    </row>
    <row r="43" spans="1:81" s="13" customFormat="1" x14ac:dyDescent="0.3">
      <c r="A43" s="5"/>
      <c r="B43" s="5"/>
      <c r="C43" s="5"/>
      <c r="AC43" s="205" t="s">
        <v>264</v>
      </c>
      <c r="AD43" s="205"/>
      <c r="AE43" s="205"/>
      <c r="AF43" s="205"/>
      <c r="AG43" s="205"/>
      <c r="AH43" s="205"/>
      <c r="AI43" s="205"/>
      <c r="AJ43" s="195">
        <v>1</v>
      </c>
      <c r="AK43" s="195"/>
      <c r="AL43" s="195"/>
      <c r="AM43" s="195"/>
      <c r="AN43" s="199">
        <v>2</v>
      </c>
      <c r="AO43" s="200"/>
      <c r="AP43" s="200"/>
      <c r="AQ43" s="201"/>
      <c r="AR43" s="195">
        <v>8</v>
      </c>
      <c r="AS43" s="195"/>
      <c r="AT43" s="195"/>
      <c r="AU43" s="195"/>
      <c r="AV43" s="195">
        <v>12</v>
      </c>
      <c r="AW43" s="195"/>
      <c r="AX43" s="195"/>
      <c r="AY43" s="19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C43" s="5"/>
    </row>
    <row r="44" spans="1:81" s="13" customFormat="1" x14ac:dyDescent="0.3">
      <c r="A44" s="5"/>
      <c r="B44" s="5"/>
      <c r="C44" s="5"/>
      <c r="AC44" s="205" t="s">
        <v>265</v>
      </c>
      <c r="AD44" s="205"/>
      <c r="AE44" s="205"/>
      <c r="AF44" s="205"/>
      <c r="AG44" s="205"/>
      <c r="AH44" s="205"/>
      <c r="AI44" s="205"/>
      <c r="AJ44" s="195">
        <v>1</v>
      </c>
      <c r="AK44" s="195"/>
      <c r="AL44" s="195"/>
      <c r="AM44" s="195"/>
      <c r="AN44" s="199">
        <v>2</v>
      </c>
      <c r="AO44" s="200"/>
      <c r="AP44" s="200"/>
      <c r="AQ44" s="201"/>
      <c r="AR44" s="195">
        <v>2</v>
      </c>
      <c r="AS44" s="195"/>
      <c r="AT44" s="195"/>
      <c r="AU44" s="195"/>
      <c r="AV44" s="195">
        <v>3</v>
      </c>
      <c r="AW44" s="195"/>
      <c r="AX44" s="195"/>
      <c r="AY44" s="19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C44" s="5"/>
    </row>
    <row r="45" spans="1:81" s="13" customFormat="1" x14ac:dyDescent="0.3">
      <c r="A45" s="5"/>
      <c r="B45" s="5"/>
      <c r="C45" s="5"/>
      <c r="AC45" s="205" t="s">
        <v>266</v>
      </c>
      <c r="AD45" s="205"/>
      <c r="AE45" s="205"/>
      <c r="AF45" s="205"/>
      <c r="AG45" s="205"/>
      <c r="AH45" s="205"/>
      <c r="AI45" s="205"/>
      <c r="AJ45" s="195">
        <v>1</v>
      </c>
      <c r="AK45" s="195"/>
      <c r="AL45" s="195"/>
      <c r="AM45" s="195"/>
      <c r="AN45" s="199">
        <v>1</v>
      </c>
      <c r="AO45" s="200"/>
      <c r="AP45" s="200"/>
      <c r="AQ45" s="201"/>
      <c r="AR45" s="195">
        <v>2</v>
      </c>
      <c r="AS45" s="195"/>
      <c r="AT45" s="195"/>
      <c r="AU45" s="195"/>
      <c r="AV45" s="195">
        <v>4</v>
      </c>
      <c r="AW45" s="195"/>
      <c r="AX45" s="195"/>
      <c r="AY45" s="19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C45" s="5"/>
    </row>
    <row r="46" spans="1:81" s="13" customFormat="1" x14ac:dyDescent="0.3">
      <c r="A46" s="5"/>
      <c r="B46" s="5"/>
      <c r="C46" s="5"/>
      <c r="AC46" s="195" t="s">
        <v>287</v>
      </c>
      <c r="AD46" s="196"/>
      <c r="AE46" s="195"/>
      <c r="AF46" s="195"/>
      <c r="AG46" s="195"/>
      <c r="AH46" s="195"/>
      <c r="AI46" s="195"/>
      <c r="AJ46" s="195" t="s">
        <v>288</v>
      </c>
      <c r="AK46" s="195"/>
      <c r="AL46" s="195"/>
      <c r="AM46" s="195"/>
      <c r="AN46" s="195" t="s">
        <v>289</v>
      </c>
      <c r="AO46" s="195"/>
      <c r="AP46" s="195"/>
      <c r="AQ46" s="195"/>
      <c r="AR46" s="195" t="s">
        <v>290</v>
      </c>
      <c r="AS46" s="195"/>
      <c r="AT46" s="195"/>
      <c r="AU46" s="195"/>
      <c r="AV46" s="195" t="s">
        <v>291</v>
      </c>
      <c r="AW46" s="195"/>
      <c r="AX46" s="195"/>
      <c r="AY46" s="19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C46" s="5"/>
    </row>
  </sheetData>
  <mergeCells count="74">
    <mergeCell ref="AC46:AI46"/>
    <mergeCell ref="AJ46:AM46"/>
    <mergeCell ref="AN46:AQ46"/>
    <mergeCell ref="AR46:AU46"/>
    <mergeCell ref="AV46:AY46"/>
    <mergeCell ref="AC44:AI44"/>
    <mergeCell ref="AJ44:AM44"/>
    <mergeCell ref="AN44:AQ44"/>
    <mergeCell ref="AR44:AU44"/>
    <mergeCell ref="AV44:AY44"/>
    <mergeCell ref="AC45:AI45"/>
    <mergeCell ref="AJ45:AM45"/>
    <mergeCell ref="AN45:AQ45"/>
    <mergeCell ref="AR45:AU45"/>
    <mergeCell ref="AV45:AY45"/>
    <mergeCell ref="AC42:AI42"/>
    <mergeCell ref="AJ42:AM42"/>
    <mergeCell ref="AN42:AQ42"/>
    <mergeCell ref="AR42:AU42"/>
    <mergeCell ref="AV42:AY42"/>
    <mergeCell ref="AC43:AI43"/>
    <mergeCell ref="AJ43:AM43"/>
    <mergeCell ref="AN43:AQ43"/>
    <mergeCell ref="AR43:AU43"/>
    <mergeCell ref="AV43:AY43"/>
    <mergeCell ref="AJ40:AM40"/>
    <mergeCell ref="AN40:AQ40"/>
    <mergeCell ref="AR40:AU40"/>
    <mergeCell ref="AV40:AY40"/>
    <mergeCell ref="AC41:AI41"/>
    <mergeCell ref="AJ41:AM41"/>
    <mergeCell ref="AN41:AQ41"/>
    <mergeCell ref="AR41:AU41"/>
    <mergeCell ref="AV41:AY41"/>
    <mergeCell ref="AJ39:AY39"/>
    <mergeCell ref="AK2:AN2"/>
    <mergeCell ref="AO2:AR2"/>
    <mergeCell ref="AS2:AV2"/>
    <mergeCell ref="AW2:AZ2"/>
    <mergeCell ref="BA2:BD2"/>
    <mergeCell ref="BE2:BH2"/>
    <mergeCell ref="BA1:BL1"/>
    <mergeCell ref="BM1:BX1"/>
    <mergeCell ref="BY1:BZ1"/>
    <mergeCell ref="BI2:BL2"/>
    <mergeCell ref="BM2:BP2"/>
    <mergeCell ref="BQ2:BT2"/>
    <mergeCell ref="BU2:BX2"/>
    <mergeCell ref="BY2:BZ2"/>
    <mergeCell ref="F1:H1"/>
    <mergeCell ref="K1:O1"/>
    <mergeCell ref="P1:P3"/>
    <mergeCell ref="Q1:Q3"/>
    <mergeCell ref="R1:R3"/>
    <mergeCell ref="N2:N3"/>
    <mergeCell ref="O2:O3"/>
    <mergeCell ref="L2:L3"/>
    <mergeCell ref="M2:M3"/>
    <mergeCell ref="D2:E2"/>
    <mergeCell ref="F2:F3"/>
    <mergeCell ref="G2:G3"/>
    <mergeCell ref="H2:H3"/>
    <mergeCell ref="K2:K3"/>
    <mergeCell ref="AC1:AN1"/>
    <mergeCell ref="AO1:AZ1"/>
    <mergeCell ref="W2:X2"/>
    <mergeCell ref="Y2:AB2"/>
    <mergeCell ref="AC2:AF2"/>
    <mergeCell ref="AG2:AJ2"/>
    <mergeCell ref="T1:T3"/>
    <mergeCell ref="U1:U3"/>
    <mergeCell ref="V1:V3"/>
    <mergeCell ref="S1:S3"/>
    <mergeCell ref="W1:AB1"/>
  </mergeCells>
  <conditionalFormatting sqref="W3:AB3">
    <cfRule type="cellIs" dxfId="17" priority="9" operator="equal">
      <formula>"A"</formula>
    </cfRule>
    <cfRule type="cellIs" dxfId="16" priority="10" operator="equal">
      <formula>"P"</formula>
    </cfRule>
    <cfRule type="cellIs" dxfId="15" priority="11" operator="equal">
      <formula>"D"</formula>
    </cfRule>
  </conditionalFormatting>
  <conditionalFormatting sqref="W7:AB8 W10:AB11 W13:AB25">
    <cfRule type="cellIs" dxfId="14" priority="13" operator="equal">
      <formula>"A"</formula>
    </cfRule>
    <cfRule type="cellIs" dxfId="13" priority="14" operator="equal">
      <formula>"P"</formula>
    </cfRule>
    <cfRule type="cellIs" dxfId="12" priority="15" operator="equal">
      <formula>"D"</formula>
    </cfRule>
  </conditionalFormatting>
  <conditionalFormatting sqref="W1:BY1 W2 Y2 AC2:BY2 W3:BZ1048576">
    <cfRule type="cellIs" dxfId="11" priority="7" operator="equal">
      <formula>"c"</formula>
    </cfRule>
    <cfRule type="cellIs" dxfId="10" priority="8" operator="equal">
      <formula>"r"</formula>
    </cfRule>
    <cfRule type="cellIs" dxfId="9" priority="12" operator="equal">
      <formula>"f"</formula>
    </cfRule>
    <cfRule type="cellIs" dxfId="8" priority="16" operator="equal">
      <formula>"A"</formula>
    </cfRule>
    <cfRule type="cellIs" dxfId="7" priority="18" operator="equal">
      <formula>"D"</formula>
    </cfRule>
  </conditionalFormatting>
  <conditionalFormatting sqref="W3:BZ1048576 W1:BY1 W2 Y2 AC2:BY2">
    <cfRule type="cellIs" dxfId="6" priority="17" operator="equal">
      <formula>"P"</formula>
    </cfRule>
  </conditionalFormatting>
  <conditionalFormatting sqref="AF25:AJ25">
    <cfRule type="cellIs" dxfId="5" priority="4" operator="equal">
      <formula>"A"</formula>
    </cfRule>
    <cfRule type="cellIs" dxfId="4" priority="5" operator="equal">
      <formula>"P"</formula>
    </cfRule>
    <cfRule type="cellIs" dxfId="3" priority="6" operator="equal">
      <formula>"D"</formula>
    </cfRule>
  </conditionalFormatting>
  <conditionalFormatting sqref="AI11:AJ11">
    <cfRule type="cellIs" dxfId="2" priority="1" operator="equal">
      <formula>"A"</formula>
    </cfRule>
    <cfRule type="cellIs" dxfId="1" priority="2" operator="equal">
      <formula>"P"</formula>
    </cfRule>
    <cfRule type="cellIs" dxfId="0" priority="3" operator="equal">
      <formula>"D"</formula>
    </cfRule>
  </conditionalFormatting>
  <pageMargins left="0.19791666666666666" right="0.14583333333333334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A655-6DB5-4725-88DD-7703D1E1CA63}">
  <dimension ref="A1:BW49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9" sqref="D19"/>
    </sheetView>
  </sheetViews>
  <sheetFormatPr baseColWidth="10" defaultColWidth="0" defaultRowHeight="14.4" x14ac:dyDescent="0.3"/>
  <cols>
    <col min="1" max="1" width="38.109375" style="6" customWidth="1"/>
    <col min="2" max="2" width="40" style="6" customWidth="1"/>
    <col min="3" max="4" width="12.109375" style="13" customWidth="1"/>
    <col min="5" max="7" width="4" style="13" customWidth="1"/>
    <col min="8" max="9" width="9.5546875" style="13" customWidth="1"/>
    <col min="10" max="10" width="9.5546875" style="13" hidden="1" customWidth="1"/>
    <col min="11" max="15" width="3.6640625" style="13" customWidth="1"/>
    <col min="16" max="16" width="19.5546875" style="5" hidden="1" customWidth="1"/>
    <col min="17" max="29" width="15.33203125" style="5" hidden="1" customWidth="1"/>
    <col min="30" max="42" width="11.44140625" style="5" hidden="1" customWidth="1"/>
    <col min="43" max="43" width="13.88671875" style="5" bestFit="1" customWidth="1"/>
    <col min="44" max="44" width="11.44140625" style="5" hidden="1" customWidth="1"/>
    <col min="45" max="45" width="11.44140625" style="5" customWidth="1"/>
    <col min="46" max="46" width="3.44140625" style="5" customWidth="1"/>
    <col min="47" max="53" width="10.6640625" style="13" customWidth="1"/>
    <col min="54" max="56" width="11.44140625" style="5" customWidth="1"/>
    <col min="57" max="59" width="11.44140625" style="5" hidden="1" customWidth="1"/>
    <col min="60" max="61" width="0" style="5" hidden="1" customWidth="1"/>
    <col min="62" max="66" width="11.44140625" style="5" hidden="1" customWidth="1"/>
    <col min="67" max="75" width="0" style="5" hidden="1" customWidth="1"/>
    <col min="76" max="16384" width="11.44140625" style="5" hidden="1"/>
  </cols>
  <sheetData>
    <row r="1" spans="1:53" x14ac:dyDescent="0.3">
      <c r="A1" s="24"/>
      <c r="C1" s="187" t="s">
        <v>104</v>
      </c>
      <c r="D1" s="187"/>
      <c r="E1" s="187" t="s">
        <v>144</v>
      </c>
      <c r="F1" s="187"/>
      <c r="G1" s="187"/>
      <c r="K1" s="188" t="s">
        <v>116</v>
      </c>
      <c r="L1" s="188"/>
      <c r="M1" s="188"/>
      <c r="N1" s="188"/>
      <c r="O1" s="188"/>
      <c r="AQ1" s="13"/>
      <c r="AS1" s="13"/>
      <c r="AT1" s="13"/>
      <c r="AU1" s="13">
        <f>C35</f>
        <v>6</v>
      </c>
      <c r="AV1" s="13">
        <f>C36</f>
        <v>5</v>
      </c>
      <c r="AW1" s="13">
        <f>C37</f>
        <v>4</v>
      </c>
      <c r="AX1" s="13">
        <f>C38</f>
        <v>3</v>
      </c>
      <c r="AY1" s="13">
        <f>C39</f>
        <v>2</v>
      </c>
      <c r="AZ1" s="13">
        <f>C40</f>
        <v>1</v>
      </c>
      <c r="BA1" s="21"/>
    </row>
    <row r="2" spans="1:53" ht="55.2" x14ac:dyDescent="0.3">
      <c r="A2" s="9" t="s">
        <v>49</v>
      </c>
      <c r="B2" s="9" t="s">
        <v>70</v>
      </c>
      <c r="C2" s="10" t="s">
        <v>105</v>
      </c>
      <c r="D2" s="10" t="s">
        <v>106</v>
      </c>
      <c r="E2" s="23" t="s">
        <v>137</v>
      </c>
      <c r="F2" s="23" t="s">
        <v>143</v>
      </c>
      <c r="G2" s="23" t="s">
        <v>156</v>
      </c>
      <c r="H2" s="10" t="s">
        <v>114</v>
      </c>
      <c r="I2" s="10" t="s">
        <v>51</v>
      </c>
      <c r="J2" s="10" t="s">
        <v>50</v>
      </c>
      <c r="K2" s="20" t="s">
        <v>82</v>
      </c>
      <c r="L2" s="20" t="s">
        <v>76</v>
      </c>
      <c r="M2" s="20" t="s">
        <v>154</v>
      </c>
      <c r="N2" s="20" t="s">
        <v>130</v>
      </c>
      <c r="O2" s="20" t="s">
        <v>117</v>
      </c>
      <c r="P2" s="14" t="s">
        <v>52</v>
      </c>
      <c r="Q2" s="10" t="s">
        <v>85</v>
      </c>
      <c r="R2" s="10" t="s">
        <v>53</v>
      </c>
      <c r="S2" s="10" t="s">
        <v>54</v>
      </c>
      <c r="T2" s="10" t="s">
        <v>55</v>
      </c>
      <c r="U2" s="10" t="s">
        <v>56</v>
      </c>
      <c r="V2" s="10" t="s">
        <v>57</v>
      </c>
      <c r="W2" s="10" t="s">
        <v>58</v>
      </c>
      <c r="X2" s="10" t="s">
        <v>59</v>
      </c>
      <c r="Y2" s="10" t="s">
        <v>60</v>
      </c>
      <c r="Z2" s="10" t="s">
        <v>61</v>
      </c>
      <c r="AA2" s="10" t="s">
        <v>62</v>
      </c>
      <c r="AB2" s="10" t="s">
        <v>63</v>
      </c>
      <c r="AC2" s="10" t="s">
        <v>64</v>
      </c>
      <c r="AD2" s="12">
        <v>44562</v>
      </c>
      <c r="AE2" s="12">
        <v>44593</v>
      </c>
      <c r="AF2" s="12">
        <v>44621</v>
      </c>
      <c r="AG2" s="12">
        <v>44652</v>
      </c>
      <c r="AH2" s="12">
        <v>44682</v>
      </c>
      <c r="AI2" s="12">
        <v>44713</v>
      </c>
      <c r="AJ2" s="12">
        <v>44743</v>
      </c>
      <c r="AK2" s="12">
        <v>44774</v>
      </c>
      <c r="AL2" s="12">
        <v>44805</v>
      </c>
      <c r="AM2" s="12">
        <v>44835</v>
      </c>
      <c r="AN2" s="12">
        <v>44866</v>
      </c>
      <c r="AO2" s="12">
        <v>44896</v>
      </c>
      <c r="AP2" s="10" t="s">
        <v>65</v>
      </c>
      <c r="AQ2" s="10" t="s">
        <v>66</v>
      </c>
      <c r="AR2" s="10" t="s">
        <v>67</v>
      </c>
      <c r="AS2" s="10" t="s">
        <v>129</v>
      </c>
      <c r="AT2" s="10"/>
      <c r="AU2" s="19" t="s">
        <v>148</v>
      </c>
      <c r="AV2" s="19" t="s">
        <v>158</v>
      </c>
      <c r="AW2" s="19" t="s">
        <v>119</v>
      </c>
      <c r="AX2" s="19" t="s">
        <v>155</v>
      </c>
      <c r="AY2" s="19" t="s">
        <v>149</v>
      </c>
      <c r="AZ2" s="19" t="s">
        <v>157</v>
      </c>
    </row>
    <row r="3" spans="1:53" x14ac:dyDescent="0.3">
      <c r="A3" s="4" t="s">
        <v>194</v>
      </c>
      <c r="B3" s="4"/>
      <c r="C3" s="15"/>
      <c r="D3" s="15"/>
      <c r="E3" s="15" t="s">
        <v>138</v>
      </c>
      <c r="F3" s="15">
        <f t="shared" ref="F3:F31" si="0">IF(E3="S",1,IF(E3="M",2,IF(E3="L",4,0)))</f>
        <v>2</v>
      </c>
      <c r="G3" s="15">
        <v>2</v>
      </c>
      <c r="H3" s="15"/>
      <c r="I3" s="15"/>
      <c r="J3" s="15"/>
      <c r="K3" s="16"/>
      <c r="L3" s="16"/>
      <c r="M3" s="16"/>
      <c r="N3" s="16"/>
      <c r="O3" s="16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>
        <v>9000</v>
      </c>
      <c r="AR3" s="7"/>
      <c r="AS3" s="15">
        <v>2022</v>
      </c>
      <c r="AT3" s="15"/>
      <c r="AU3" s="22"/>
      <c r="AV3" s="22"/>
      <c r="AW3" s="22"/>
      <c r="AX3" s="22"/>
      <c r="AY3" s="22"/>
      <c r="AZ3" s="22"/>
      <c r="BA3" s="25">
        <f t="shared" ref="BA3:BA31" si="1">AU3*$AU$1+AY3*$AY$1+AW3*$AW$1+AX3*$AX$1+AV3*$AV$1+AZ3*$AZ$1</f>
        <v>0</v>
      </c>
    </row>
    <row r="4" spans="1:53" ht="28.8" x14ac:dyDescent="0.3">
      <c r="A4" s="4" t="s">
        <v>195</v>
      </c>
      <c r="B4" s="4"/>
      <c r="C4" s="15"/>
      <c r="D4" s="15"/>
      <c r="E4" s="15" t="s">
        <v>138</v>
      </c>
      <c r="F4" s="15">
        <f t="shared" si="0"/>
        <v>2</v>
      </c>
      <c r="G4" s="15">
        <v>2</v>
      </c>
      <c r="H4" s="15"/>
      <c r="I4" s="15"/>
      <c r="J4" s="15"/>
      <c r="K4" s="16"/>
      <c r="L4" s="16"/>
      <c r="M4" s="16"/>
      <c r="N4" s="16"/>
      <c r="O4" s="1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>
        <v>3200</v>
      </c>
      <c r="AR4" s="7"/>
      <c r="AS4" s="15">
        <v>2022</v>
      </c>
      <c r="AT4" s="15"/>
      <c r="AU4" s="22"/>
      <c r="AV4" s="22"/>
      <c r="AW4" s="22"/>
      <c r="AX4" s="22"/>
      <c r="AY4" s="22"/>
      <c r="AZ4" s="22"/>
      <c r="BA4" s="25">
        <f t="shared" si="1"/>
        <v>0</v>
      </c>
    </row>
    <row r="5" spans="1:53" x14ac:dyDescent="0.3">
      <c r="A5" s="4" t="s">
        <v>196</v>
      </c>
      <c r="B5" s="4"/>
      <c r="C5" s="15"/>
      <c r="D5" s="15"/>
      <c r="E5" s="15" t="s">
        <v>139</v>
      </c>
      <c r="F5" s="15">
        <f t="shared" si="0"/>
        <v>4</v>
      </c>
      <c r="G5" s="15">
        <v>4</v>
      </c>
      <c r="H5" s="15"/>
      <c r="I5" s="15"/>
      <c r="J5" s="15"/>
      <c r="K5" s="16"/>
      <c r="L5" s="16"/>
      <c r="M5" s="16"/>
      <c r="N5" s="16"/>
      <c r="O5" s="1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>
        <f>5000*4</f>
        <v>20000</v>
      </c>
      <c r="AR5" s="7"/>
      <c r="AS5" s="15">
        <v>2022</v>
      </c>
      <c r="AT5" s="15"/>
      <c r="AU5" s="22"/>
      <c r="AV5" s="22"/>
      <c r="AW5" s="22"/>
      <c r="AX5" s="22"/>
      <c r="AY5" s="22"/>
      <c r="AZ5" s="22"/>
      <c r="BA5" s="25">
        <f t="shared" si="1"/>
        <v>0</v>
      </c>
    </row>
    <row r="6" spans="1:53" x14ac:dyDescent="0.3">
      <c r="A6" s="4" t="s">
        <v>209</v>
      </c>
      <c r="B6" s="4"/>
      <c r="C6" s="15"/>
      <c r="D6" s="15"/>
      <c r="E6" s="15" t="s">
        <v>138</v>
      </c>
      <c r="F6" s="15">
        <f t="shared" si="0"/>
        <v>2</v>
      </c>
      <c r="G6" s="15">
        <v>1</v>
      </c>
      <c r="H6" s="15"/>
      <c r="I6" s="15"/>
      <c r="J6" s="15"/>
      <c r="K6" s="16"/>
      <c r="L6" s="16"/>
      <c r="M6" s="16"/>
      <c r="N6" s="16"/>
      <c r="O6" s="1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>
        <v>10240</v>
      </c>
      <c r="AR6" s="7"/>
      <c r="AS6" s="15">
        <v>2022</v>
      </c>
      <c r="AT6" s="15"/>
      <c r="AU6" s="22"/>
      <c r="AV6" s="22"/>
      <c r="AW6" s="22"/>
      <c r="AX6" s="22"/>
      <c r="AY6" s="22"/>
      <c r="AZ6" s="22"/>
      <c r="BA6" s="25">
        <f t="shared" si="1"/>
        <v>0</v>
      </c>
    </row>
    <row r="7" spans="1:53" ht="28.8" x14ac:dyDescent="0.3">
      <c r="A7" s="4" t="s">
        <v>197</v>
      </c>
      <c r="B7" s="4"/>
      <c r="C7" s="15"/>
      <c r="D7" s="15"/>
      <c r="E7" s="15" t="s">
        <v>140</v>
      </c>
      <c r="F7" s="15">
        <f t="shared" si="0"/>
        <v>1</v>
      </c>
      <c r="G7" s="15">
        <v>1</v>
      </c>
      <c r="H7" s="15"/>
      <c r="I7" s="15"/>
      <c r="J7" s="15"/>
      <c r="K7" s="16"/>
      <c r="L7" s="16"/>
      <c r="M7" s="16"/>
      <c r="N7" s="16"/>
      <c r="O7" s="16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>
        <v>480</v>
      </c>
      <c r="AR7" s="7"/>
      <c r="AS7" s="15">
        <v>2022</v>
      </c>
      <c r="AT7" s="15"/>
      <c r="AU7" s="22"/>
      <c r="AV7" s="22"/>
      <c r="AW7" s="22"/>
      <c r="AX7" s="22"/>
      <c r="AY7" s="22"/>
      <c r="AZ7" s="22"/>
      <c r="BA7" s="25">
        <f t="shared" si="1"/>
        <v>0</v>
      </c>
    </row>
    <row r="8" spans="1:53" x14ac:dyDescent="0.3">
      <c r="A8" s="4" t="s">
        <v>198</v>
      </c>
      <c r="B8" s="4"/>
      <c r="C8" s="15"/>
      <c r="D8" s="15"/>
      <c r="E8" s="15" t="s">
        <v>138</v>
      </c>
      <c r="F8" s="15">
        <f t="shared" si="0"/>
        <v>2</v>
      </c>
      <c r="G8" s="15">
        <v>2</v>
      </c>
      <c r="H8" s="15"/>
      <c r="I8" s="15"/>
      <c r="J8" s="15"/>
      <c r="K8" s="16"/>
      <c r="L8" s="16"/>
      <c r="M8" s="16"/>
      <c r="N8" s="16"/>
      <c r="O8" s="1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>
        <v>4750</v>
      </c>
      <c r="AR8" s="7"/>
      <c r="AS8" s="15">
        <v>2022</v>
      </c>
      <c r="AT8" s="15"/>
      <c r="AU8" s="22"/>
      <c r="AV8" s="22"/>
      <c r="AW8" s="22"/>
      <c r="AX8" s="22"/>
      <c r="AY8" s="22"/>
      <c r="AZ8" s="22"/>
      <c r="BA8" s="22">
        <f t="shared" si="1"/>
        <v>0</v>
      </c>
    </row>
    <row r="9" spans="1:53" x14ac:dyDescent="0.3">
      <c r="A9" s="4" t="s">
        <v>199</v>
      </c>
      <c r="B9" s="4"/>
      <c r="C9" s="15"/>
      <c r="D9" s="15"/>
      <c r="E9" s="15" t="s">
        <v>139</v>
      </c>
      <c r="F9" s="15">
        <f t="shared" si="0"/>
        <v>4</v>
      </c>
      <c r="G9" s="15">
        <v>4</v>
      </c>
      <c r="H9" s="15"/>
      <c r="I9" s="15"/>
      <c r="J9" s="15"/>
      <c r="K9" s="16"/>
      <c r="L9" s="16"/>
      <c r="M9" s="16"/>
      <c r="N9" s="16"/>
      <c r="O9" s="16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>
        <v>22500</v>
      </c>
      <c r="AR9" s="7"/>
      <c r="AS9" s="15">
        <v>2022</v>
      </c>
      <c r="AT9" s="15" t="s">
        <v>218</v>
      </c>
      <c r="AU9" s="22"/>
      <c r="AV9" s="22"/>
      <c r="AW9" s="22"/>
      <c r="AX9" s="22"/>
      <c r="AY9" s="22"/>
      <c r="AZ9" s="22"/>
      <c r="BA9" s="25">
        <f t="shared" si="1"/>
        <v>0</v>
      </c>
    </row>
    <row r="10" spans="1:53" x14ac:dyDescent="0.3">
      <c r="A10" s="4" t="s">
        <v>200</v>
      </c>
      <c r="B10" s="4"/>
      <c r="C10" s="15"/>
      <c r="D10" s="15"/>
      <c r="E10" s="15" t="s">
        <v>139</v>
      </c>
      <c r="F10" s="15">
        <f t="shared" si="0"/>
        <v>4</v>
      </c>
      <c r="G10" s="15">
        <v>4</v>
      </c>
      <c r="H10" s="15"/>
      <c r="I10" s="15"/>
      <c r="J10" s="15"/>
      <c r="K10" s="16"/>
      <c r="L10" s="16"/>
      <c r="M10" s="16"/>
      <c r="N10" s="16"/>
      <c r="O10" s="16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27">
        <v>22000</v>
      </c>
      <c r="AR10" s="7"/>
      <c r="AS10" s="15">
        <v>2022</v>
      </c>
      <c r="AT10" s="15" t="s">
        <v>218</v>
      </c>
      <c r="AU10" s="22"/>
      <c r="AV10" s="22"/>
      <c r="AW10" s="22"/>
      <c r="AX10" s="22"/>
      <c r="AY10" s="22"/>
      <c r="AZ10" s="22"/>
      <c r="BA10" s="25">
        <f t="shared" si="1"/>
        <v>0</v>
      </c>
    </row>
    <row r="11" spans="1:53" x14ac:dyDescent="0.3">
      <c r="A11" s="4" t="s">
        <v>201</v>
      </c>
      <c r="B11" s="4"/>
      <c r="C11" s="15"/>
      <c r="D11" s="15"/>
      <c r="E11" s="15" t="s">
        <v>139</v>
      </c>
      <c r="F11" s="15">
        <f t="shared" si="0"/>
        <v>4</v>
      </c>
      <c r="G11" s="15">
        <v>4</v>
      </c>
      <c r="H11" s="15"/>
      <c r="I11" s="15"/>
      <c r="J11" s="15"/>
      <c r="K11" s="16"/>
      <c r="L11" s="16"/>
      <c r="M11" s="16"/>
      <c r="N11" s="16"/>
      <c r="O11" s="1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>
        <f>8523*4</f>
        <v>34092</v>
      </c>
      <c r="AR11" s="7"/>
      <c r="AS11" s="15">
        <v>2022</v>
      </c>
      <c r="AT11" s="15" t="s">
        <v>218</v>
      </c>
      <c r="AU11" s="22"/>
      <c r="AV11" s="22"/>
      <c r="AW11" s="22"/>
      <c r="AX11" s="22"/>
      <c r="AY11" s="22"/>
      <c r="AZ11" s="22"/>
      <c r="BA11" s="25">
        <f t="shared" si="1"/>
        <v>0</v>
      </c>
    </row>
    <row r="12" spans="1:53" x14ac:dyDescent="0.3">
      <c r="A12" s="4" t="s">
        <v>202</v>
      </c>
      <c r="B12" s="4"/>
      <c r="C12" s="15"/>
      <c r="D12" s="15"/>
      <c r="E12" s="15" t="s">
        <v>139</v>
      </c>
      <c r="F12" s="15">
        <f t="shared" si="0"/>
        <v>4</v>
      </c>
      <c r="G12" s="15">
        <v>4</v>
      </c>
      <c r="H12" s="15"/>
      <c r="I12" s="15"/>
      <c r="J12" s="15"/>
      <c r="K12" s="16"/>
      <c r="L12" s="16"/>
      <c r="M12" s="16"/>
      <c r="N12" s="16"/>
      <c r="O12" s="1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>
        <v>14980</v>
      </c>
      <c r="AR12" s="7"/>
      <c r="AS12" s="15">
        <v>2022</v>
      </c>
      <c r="AT12" s="15" t="s">
        <v>218</v>
      </c>
      <c r="AU12" s="22"/>
      <c r="AV12" s="22"/>
      <c r="AW12" s="22"/>
      <c r="AX12" s="22"/>
      <c r="AY12" s="22"/>
      <c r="AZ12" s="22"/>
      <c r="BA12" s="22">
        <f t="shared" si="1"/>
        <v>0</v>
      </c>
    </row>
    <row r="13" spans="1:53" ht="28.8" x14ac:dyDescent="0.3">
      <c r="A13" s="4" t="s">
        <v>203</v>
      </c>
      <c r="B13" s="4"/>
      <c r="C13" s="15"/>
      <c r="D13" s="15"/>
      <c r="E13" s="15" t="s">
        <v>140</v>
      </c>
      <c r="F13" s="15">
        <f t="shared" si="0"/>
        <v>1</v>
      </c>
      <c r="G13" s="15">
        <v>0</v>
      </c>
      <c r="H13" s="15"/>
      <c r="I13" s="15"/>
      <c r="J13" s="15"/>
      <c r="K13" s="16"/>
      <c r="L13" s="16"/>
      <c r="M13" s="16"/>
      <c r="N13" s="16"/>
      <c r="O13" s="1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>
        <v>1920</v>
      </c>
      <c r="AR13" s="7"/>
      <c r="AS13" s="15">
        <v>2022</v>
      </c>
      <c r="AT13" s="15" t="s">
        <v>218</v>
      </c>
      <c r="AU13" s="22"/>
      <c r="AV13" s="22"/>
      <c r="AW13" s="22"/>
      <c r="AX13" s="22"/>
      <c r="AY13" s="22"/>
      <c r="AZ13" s="22"/>
      <c r="BA13" s="25">
        <f t="shared" si="1"/>
        <v>0</v>
      </c>
    </row>
    <row r="14" spans="1:53" ht="28.8" x14ac:dyDescent="0.3">
      <c r="A14" s="4" t="s">
        <v>204</v>
      </c>
      <c r="B14" s="4"/>
      <c r="C14" s="15"/>
      <c r="D14" s="15"/>
      <c r="E14" s="15" t="s">
        <v>138</v>
      </c>
      <c r="F14" s="15">
        <f t="shared" si="0"/>
        <v>2</v>
      </c>
      <c r="G14" s="15">
        <v>2</v>
      </c>
      <c r="H14" s="15"/>
      <c r="I14" s="15"/>
      <c r="J14" s="15"/>
      <c r="K14" s="16"/>
      <c r="L14" s="16"/>
      <c r="M14" s="16"/>
      <c r="N14" s="16"/>
      <c r="O14" s="1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>
        <v>15040</v>
      </c>
      <c r="AR14" s="7"/>
      <c r="AS14" s="15">
        <v>2022</v>
      </c>
      <c r="AT14" s="15" t="s">
        <v>218</v>
      </c>
      <c r="AU14" s="22"/>
      <c r="AV14" s="22"/>
      <c r="AW14" s="22"/>
      <c r="AX14" s="22"/>
      <c r="AY14" s="22"/>
      <c r="AZ14" s="22"/>
      <c r="BA14" s="25">
        <f t="shared" si="1"/>
        <v>0</v>
      </c>
    </row>
    <row r="15" spans="1:53" x14ac:dyDescent="0.3">
      <c r="A15" s="4" t="s">
        <v>205</v>
      </c>
      <c r="B15" s="4"/>
      <c r="C15" s="15"/>
      <c r="D15" s="15"/>
      <c r="E15" s="15" t="s">
        <v>140</v>
      </c>
      <c r="F15" s="15">
        <f t="shared" si="0"/>
        <v>1</v>
      </c>
      <c r="G15" s="15">
        <v>0</v>
      </c>
      <c r="H15" s="15"/>
      <c r="I15" s="15"/>
      <c r="J15" s="15"/>
      <c r="K15" s="16"/>
      <c r="L15" s="16"/>
      <c r="M15" s="16"/>
      <c r="N15" s="16"/>
      <c r="O15" s="1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>
        <v>1920</v>
      </c>
      <c r="AR15" s="7"/>
      <c r="AS15" s="15">
        <v>2022</v>
      </c>
      <c r="AT15" s="15"/>
      <c r="AU15" s="22"/>
      <c r="AV15" s="22"/>
      <c r="AW15" s="22"/>
      <c r="AX15" s="22"/>
      <c r="AY15" s="22"/>
      <c r="AZ15" s="22"/>
      <c r="BA15" s="25">
        <f t="shared" si="1"/>
        <v>0</v>
      </c>
    </row>
    <row r="16" spans="1:53" x14ac:dyDescent="0.3">
      <c r="A16" s="4" t="s">
        <v>207</v>
      </c>
      <c r="B16" s="4"/>
      <c r="C16" s="15"/>
      <c r="D16" s="15"/>
      <c r="E16" s="15" t="s">
        <v>140</v>
      </c>
      <c r="F16" s="15">
        <f t="shared" si="0"/>
        <v>1</v>
      </c>
      <c r="G16" s="15">
        <v>1</v>
      </c>
      <c r="H16" s="15"/>
      <c r="I16" s="15"/>
      <c r="J16" s="15"/>
      <c r="K16" s="16"/>
      <c r="L16" s="16"/>
      <c r="M16" s="16"/>
      <c r="N16" s="16"/>
      <c r="O16" s="1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>
        <v>0</v>
      </c>
      <c r="AR16" s="7"/>
      <c r="AS16" s="15">
        <v>2022</v>
      </c>
      <c r="AT16" s="15"/>
      <c r="AU16" s="22"/>
      <c r="AV16" s="22"/>
      <c r="AW16" s="22"/>
      <c r="AX16" s="22"/>
      <c r="AY16" s="22"/>
      <c r="AZ16" s="22"/>
      <c r="BA16" s="25">
        <f t="shared" si="1"/>
        <v>0</v>
      </c>
    </row>
    <row r="17" spans="1:53" x14ac:dyDescent="0.3">
      <c r="A17" s="4" t="s">
        <v>206</v>
      </c>
      <c r="B17" s="4"/>
      <c r="C17" s="15"/>
      <c r="D17" s="15"/>
      <c r="E17" s="15" t="s">
        <v>138</v>
      </c>
      <c r="F17" s="15">
        <f t="shared" si="0"/>
        <v>2</v>
      </c>
      <c r="G17" s="15">
        <v>2</v>
      </c>
      <c r="H17" s="15"/>
      <c r="I17" s="15"/>
      <c r="J17" s="15"/>
      <c r="K17" s="16"/>
      <c r="L17" s="16"/>
      <c r="M17" s="16"/>
      <c r="N17" s="16"/>
      <c r="O17" s="1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>
        <v>3840</v>
      </c>
      <c r="AR17" s="7"/>
      <c r="AS17" s="15">
        <v>2022</v>
      </c>
      <c r="AT17" s="15"/>
      <c r="AU17" s="22"/>
      <c r="AV17" s="22"/>
      <c r="AW17" s="22"/>
      <c r="AX17" s="22"/>
      <c r="AY17" s="22"/>
      <c r="AZ17" s="22"/>
      <c r="BA17" s="22">
        <f t="shared" si="1"/>
        <v>0</v>
      </c>
    </row>
    <row r="18" spans="1:53" ht="28.8" x14ac:dyDescent="0.3">
      <c r="A18" s="4" t="s">
        <v>210</v>
      </c>
      <c r="B18" s="4"/>
      <c r="C18" s="15"/>
      <c r="D18" s="15"/>
      <c r="E18" s="15" t="s">
        <v>140</v>
      </c>
      <c r="F18" s="15">
        <f t="shared" si="0"/>
        <v>1</v>
      </c>
      <c r="G18" s="15">
        <v>1</v>
      </c>
      <c r="H18" s="15"/>
      <c r="I18" s="15"/>
      <c r="J18" s="15"/>
      <c r="K18" s="16"/>
      <c r="L18" s="16"/>
      <c r="M18" s="16"/>
      <c r="N18" s="16"/>
      <c r="O18" s="1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>
        <v>3040</v>
      </c>
      <c r="AR18" s="7"/>
      <c r="AS18" s="15">
        <v>2022</v>
      </c>
      <c r="AT18" s="15"/>
      <c r="AU18" s="22"/>
      <c r="AV18" s="22"/>
      <c r="AW18" s="22"/>
      <c r="AX18" s="22"/>
      <c r="AY18" s="22"/>
      <c r="AZ18" s="22"/>
      <c r="BA18" s="25">
        <f t="shared" si="1"/>
        <v>0</v>
      </c>
    </row>
    <row r="19" spans="1:53" ht="28.8" x14ac:dyDescent="0.3">
      <c r="A19" s="4" t="s">
        <v>208</v>
      </c>
      <c r="B19" s="4"/>
      <c r="C19" s="15"/>
      <c r="D19" s="15"/>
      <c r="E19" s="15" t="s">
        <v>138</v>
      </c>
      <c r="F19" s="15">
        <f t="shared" si="0"/>
        <v>2</v>
      </c>
      <c r="G19" s="15">
        <v>2</v>
      </c>
      <c r="H19" s="15"/>
      <c r="I19" s="15"/>
      <c r="J19" s="15"/>
      <c r="K19" s="16"/>
      <c r="L19" s="16"/>
      <c r="M19" s="16"/>
      <c r="N19" s="16"/>
      <c r="O19" s="1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>
        <v>8040</v>
      </c>
      <c r="AR19" s="7"/>
      <c r="AS19" s="15">
        <v>2022</v>
      </c>
      <c r="AT19" s="15"/>
      <c r="AU19" s="22"/>
      <c r="AV19" s="22"/>
      <c r="AW19" s="22"/>
      <c r="AX19" s="22"/>
      <c r="AY19" s="22"/>
      <c r="AZ19" s="22"/>
      <c r="BA19" s="25">
        <f t="shared" si="1"/>
        <v>0</v>
      </c>
    </row>
    <row r="20" spans="1:53" x14ac:dyDescent="0.3">
      <c r="A20" s="4" t="s">
        <v>211</v>
      </c>
      <c r="B20" s="4"/>
      <c r="C20" s="15"/>
      <c r="D20" s="15"/>
      <c r="E20" s="15" t="s">
        <v>140</v>
      </c>
      <c r="F20" s="15">
        <f t="shared" si="0"/>
        <v>1</v>
      </c>
      <c r="G20" s="15">
        <v>1</v>
      </c>
      <c r="H20" s="15"/>
      <c r="I20" s="15"/>
      <c r="J20" s="15"/>
      <c r="K20" s="16"/>
      <c r="L20" s="16"/>
      <c r="M20" s="16"/>
      <c r="N20" s="16"/>
      <c r="O20" s="1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>
        <v>960</v>
      </c>
      <c r="AR20" s="7"/>
      <c r="AS20" s="15">
        <v>2022</v>
      </c>
      <c r="AT20" s="15"/>
      <c r="AU20" s="22"/>
      <c r="AV20" s="22"/>
      <c r="AW20" s="22"/>
      <c r="AX20" s="22"/>
      <c r="AY20" s="22"/>
      <c r="AZ20" s="22"/>
      <c r="BA20" s="25">
        <f t="shared" si="1"/>
        <v>0</v>
      </c>
    </row>
    <row r="21" spans="1:53" x14ac:dyDescent="0.3">
      <c r="A21" s="4" t="s">
        <v>212</v>
      </c>
      <c r="B21" s="4"/>
      <c r="C21" s="15"/>
      <c r="D21" s="15"/>
      <c r="E21" s="15" t="s">
        <v>140</v>
      </c>
      <c r="F21" s="15">
        <f t="shared" si="0"/>
        <v>1</v>
      </c>
      <c r="G21" s="15">
        <v>1</v>
      </c>
      <c r="H21" s="15"/>
      <c r="I21" s="15"/>
      <c r="J21" s="15"/>
      <c r="K21" s="16"/>
      <c r="L21" s="16"/>
      <c r="M21" s="16"/>
      <c r="N21" s="16"/>
      <c r="O21" s="16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>
        <v>2420</v>
      </c>
      <c r="AR21" s="7"/>
      <c r="AS21" s="15">
        <v>2022</v>
      </c>
      <c r="AT21" s="15"/>
      <c r="AU21" s="22"/>
      <c r="AV21" s="22"/>
      <c r="AW21" s="22"/>
      <c r="AX21" s="22"/>
      <c r="AY21" s="22"/>
      <c r="AZ21" s="22"/>
      <c r="BA21" s="22">
        <f t="shared" si="1"/>
        <v>0</v>
      </c>
    </row>
    <row r="22" spans="1:53" x14ac:dyDescent="0.3">
      <c r="A22" s="4" t="s">
        <v>213</v>
      </c>
      <c r="B22" s="4"/>
      <c r="C22" s="15"/>
      <c r="D22" s="15"/>
      <c r="E22" s="15" t="s">
        <v>140</v>
      </c>
      <c r="F22" s="15">
        <f t="shared" si="0"/>
        <v>1</v>
      </c>
      <c r="G22" s="15">
        <v>0</v>
      </c>
      <c r="H22" s="15"/>
      <c r="I22" s="15"/>
      <c r="J22" s="15"/>
      <c r="K22" s="16"/>
      <c r="L22" s="16"/>
      <c r="M22" s="16"/>
      <c r="N22" s="16"/>
      <c r="O22" s="1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>
        <f>2320+960</f>
        <v>3280</v>
      </c>
      <c r="AR22" s="7"/>
      <c r="AS22" s="15">
        <v>2022</v>
      </c>
      <c r="AT22" s="15"/>
      <c r="AU22" s="22"/>
      <c r="AV22" s="22"/>
      <c r="AW22" s="22"/>
      <c r="AX22" s="22"/>
      <c r="AY22" s="22"/>
      <c r="AZ22" s="22"/>
      <c r="BA22" s="22">
        <f t="shared" si="1"/>
        <v>0</v>
      </c>
    </row>
    <row r="23" spans="1:53" x14ac:dyDescent="0.3">
      <c r="A23" s="4" t="s">
        <v>214</v>
      </c>
      <c r="B23" s="4"/>
      <c r="C23" s="15"/>
      <c r="D23" s="15"/>
      <c r="E23" s="15" t="s">
        <v>140</v>
      </c>
      <c r="F23" s="15">
        <f t="shared" si="0"/>
        <v>1</v>
      </c>
      <c r="G23" s="15">
        <v>1</v>
      </c>
      <c r="H23" s="15"/>
      <c r="I23" s="15"/>
      <c r="J23" s="15"/>
      <c r="K23" s="16"/>
      <c r="L23" s="16"/>
      <c r="M23" s="16"/>
      <c r="N23" s="16"/>
      <c r="O23" s="1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>
        <v>10700</v>
      </c>
      <c r="AR23" s="7"/>
      <c r="AS23" s="15">
        <v>2022</v>
      </c>
      <c r="AT23" s="15"/>
      <c r="AU23" s="22"/>
      <c r="AV23" s="22"/>
      <c r="AW23" s="22"/>
      <c r="AX23" s="22"/>
      <c r="AY23" s="22"/>
      <c r="AZ23" s="22"/>
      <c r="BA23" s="25">
        <f t="shared" si="1"/>
        <v>0</v>
      </c>
    </row>
    <row r="24" spans="1:53" x14ac:dyDescent="0.3">
      <c r="A24" s="4" t="s">
        <v>240</v>
      </c>
      <c r="B24" s="4"/>
      <c r="C24" s="15"/>
      <c r="D24" s="15"/>
      <c r="E24" s="15" t="s">
        <v>138</v>
      </c>
      <c r="F24" s="15">
        <f t="shared" si="0"/>
        <v>2</v>
      </c>
      <c r="G24" s="15">
        <v>2</v>
      </c>
      <c r="H24" s="15"/>
      <c r="I24" s="15"/>
      <c r="J24" s="15"/>
      <c r="K24" s="16"/>
      <c r="L24" s="16"/>
      <c r="M24" s="16"/>
      <c r="N24" s="16"/>
      <c r="O24" s="1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15">
        <v>2022</v>
      </c>
      <c r="AT24" s="15"/>
      <c r="AU24" s="22"/>
      <c r="AV24" s="22"/>
      <c r="AW24" s="22"/>
      <c r="AX24" s="22"/>
      <c r="AY24" s="22"/>
      <c r="AZ24" s="22"/>
      <c r="BA24" s="25">
        <f t="shared" si="1"/>
        <v>0</v>
      </c>
    </row>
    <row r="25" spans="1:53" x14ac:dyDescent="0.3">
      <c r="A25" s="4" t="s">
        <v>241</v>
      </c>
      <c r="B25" s="4"/>
      <c r="C25" s="15"/>
      <c r="D25" s="15"/>
      <c r="E25" s="15" t="s">
        <v>138</v>
      </c>
      <c r="F25" s="15">
        <f t="shared" si="0"/>
        <v>2</v>
      </c>
      <c r="G25" s="15">
        <v>1</v>
      </c>
      <c r="H25" s="15"/>
      <c r="I25" s="15"/>
      <c r="J25" s="15"/>
      <c r="K25" s="16"/>
      <c r="L25" s="16"/>
      <c r="M25" s="16"/>
      <c r="N25" s="16"/>
      <c r="O25" s="1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>
        <v>20000</v>
      </c>
      <c r="AR25" s="7"/>
      <c r="AS25" s="15">
        <v>2022</v>
      </c>
      <c r="AT25" s="15"/>
      <c r="AU25" s="22"/>
      <c r="AV25" s="22"/>
      <c r="AW25" s="22"/>
      <c r="AX25" s="22"/>
      <c r="AY25" s="22"/>
      <c r="AZ25" s="22"/>
      <c r="BA25" s="25">
        <f t="shared" si="1"/>
        <v>0</v>
      </c>
    </row>
    <row r="26" spans="1:53" x14ac:dyDescent="0.3">
      <c r="A26" s="4" t="s">
        <v>245</v>
      </c>
      <c r="B26" s="4"/>
      <c r="C26" s="15"/>
      <c r="D26" s="15"/>
      <c r="E26" s="15" t="s">
        <v>138</v>
      </c>
      <c r="F26" s="15">
        <f t="shared" si="0"/>
        <v>2</v>
      </c>
      <c r="G26" s="15">
        <v>1</v>
      </c>
      <c r="H26" s="15"/>
      <c r="I26" s="15"/>
      <c r="J26" s="15"/>
      <c r="K26" s="16"/>
      <c r="L26" s="16"/>
      <c r="M26" s="16"/>
      <c r="N26" s="16"/>
      <c r="O26" s="1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>
        <f>2800*4</f>
        <v>11200</v>
      </c>
      <c r="AR26" s="7"/>
      <c r="AS26" s="15">
        <v>2022</v>
      </c>
      <c r="AT26" s="15"/>
      <c r="AU26" s="22"/>
      <c r="AV26" s="22"/>
      <c r="AW26" s="22"/>
      <c r="AX26" s="22"/>
      <c r="AY26" s="22"/>
      <c r="AZ26" s="22"/>
      <c r="BA26" s="22">
        <f t="shared" si="1"/>
        <v>0</v>
      </c>
    </row>
    <row r="27" spans="1:53" x14ac:dyDescent="0.3">
      <c r="A27" s="4" t="s">
        <v>219</v>
      </c>
      <c r="B27" s="4"/>
      <c r="C27" s="15"/>
      <c r="D27" s="15"/>
      <c r="E27" s="15" t="s">
        <v>138</v>
      </c>
      <c r="F27" s="15">
        <f t="shared" si="0"/>
        <v>2</v>
      </c>
      <c r="G27" s="15">
        <v>2</v>
      </c>
      <c r="H27" s="15"/>
      <c r="I27" s="15"/>
      <c r="J27" s="15"/>
      <c r="K27" s="16"/>
      <c r="L27" s="16"/>
      <c r="M27" s="16"/>
      <c r="N27" s="16"/>
      <c r="O27" s="1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>
        <v>6000</v>
      </c>
      <c r="AR27" s="7"/>
      <c r="AS27" s="15">
        <v>2022</v>
      </c>
      <c r="AT27" s="15"/>
      <c r="AU27" s="22"/>
      <c r="AV27" s="22"/>
      <c r="AW27" s="22"/>
      <c r="AX27" s="22"/>
      <c r="AY27" s="22"/>
      <c r="AZ27" s="22"/>
      <c r="BA27" s="22">
        <f t="shared" si="1"/>
        <v>0</v>
      </c>
    </row>
    <row r="28" spans="1:53" x14ac:dyDescent="0.3">
      <c r="A28" s="4" t="s">
        <v>220</v>
      </c>
      <c r="B28" s="4"/>
      <c r="C28" s="15"/>
      <c r="D28" s="15"/>
      <c r="E28" s="15" t="s">
        <v>140</v>
      </c>
      <c r="F28" s="15">
        <f t="shared" si="0"/>
        <v>1</v>
      </c>
      <c r="G28" s="15">
        <v>0</v>
      </c>
      <c r="H28" s="15"/>
      <c r="I28" s="15"/>
      <c r="J28" s="15"/>
      <c r="K28" s="16"/>
      <c r="L28" s="16"/>
      <c r="M28" s="16"/>
      <c r="N28" s="16"/>
      <c r="O28" s="1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>
        <v>5000</v>
      </c>
      <c r="AR28" s="7"/>
      <c r="AS28" s="15">
        <v>2022</v>
      </c>
      <c r="AT28" s="15"/>
      <c r="AU28" s="22"/>
      <c r="AV28" s="22"/>
      <c r="AW28" s="22"/>
      <c r="AX28" s="22"/>
      <c r="AY28" s="22"/>
      <c r="AZ28" s="22"/>
      <c r="BA28" s="22">
        <f t="shared" si="1"/>
        <v>0</v>
      </c>
    </row>
    <row r="29" spans="1:53" x14ac:dyDescent="0.3">
      <c r="A29" s="4" t="s">
        <v>221</v>
      </c>
      <c r="B29" s="4"/>
      <c r="C29" s="15"/>
      <c r="D29" s="15"/>
      <c r="E29" s="15" t="s">
        <v>140</v>
      </c>
      <c r="F29" s="15">
        <f t="shared" si="0"/>
        <v>1</v>
      </c>
      <c r="G29" s="15">
        <v>0</v>
      </c>
      <c r="H29" s="15"/>
      <c r="I29" s="15"/>
      <c r="J29" s="15"/>
      <c r="K29" s="16"/>
      <c r="L29" s="16"/>
      <c r="M29" s="16"/>
      <c r="N29" s="16"/>
      <c r="O29" s="1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>
        <v>3000</v>
      </c>
      <c r="AR29" s="7"/>
      <c r="AS29" s="15">
        <v>2022</v>
      </c>
      <c r="AT29" s="15"/>
      <c r="AU29" s="22"/>
      <c r="AV29" s="22"/>
      <c r="AW29" s="22"/>
      <c r="AX29" s="22"/>
      <c r="AY29" s="22"/>
      <c r="AZ29" s="22"/>
      <c r="BA29" s="22">
        <f t="shared" si="1"/>
        <v>0</v>
      </c>
    </row>
    <row r="30" spans="1:53" x14ac:dyDescent="0.3">
      <c r="A30" s="4" t="s">
        <v>222</v>
      </c>
      <c r="B30" s="4"/>
      <c r="C30" s="15"/>
      <c r="D30" s="15"/>
      <c r="E30" s="15" t="s">
        <v>138</v>
      </c>
      <c r="F30" s="15">
        <f t="shared" si="0"/>
        <v>2</v>
      </c>
      <c r="G30" s="15">
        <v>2</v>
      </c>
      <c r="H30" s="15"/>
      <c r="I30" s="15"/>
      <c r="J30" s="15"/>
      <c r="K30" s="16"/>
      <c r="L30" s="16"/>
      <c r="M30" s="16"/>
      <c r="N30" s="16"/>
      <c r="O30" s="1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>
        <v>7100</v>
      </c>
      <c r="AR30" s="7"/>
      <c r="AS30" s="15">
        <v>2022</v>
      </c>
      <c r="AT30" s="15"/>
      <c r="AU30" s="22"/>
      <c r="AV30" s="22"/>
      <c r="AW30" s="22"/>
      <c r="AX30" s="22"/>
      <c r="AY30" s="22"/>
      <c r="AZ30" s="22"/>
      <c r="BA30" s="22">
        <f t="shared" si="1"/>
        <v>0</v>
      </c>
    </row>
    <row r="31" spans="1:53" x14ac:dyDescent="0.3">
      <c r="A31" s="4"/>
      <c r="B31" s="4"/>
      <c r="C31" s="15"/>
      <c r="D31" s="15"/>
      <c r="E31" s="15"/>
      <c r="F31" s="15">
        <f t="shared" si="0"/>
        <v>0</v>
      </c>
      <c r="G31" s="15"/>
      <c r="H31" s="15"/>
      <c r="I31" s="15"/>
      <c r="J31" s="15"/>
      <c r="K31" s="16"/>
      <c r="L31" s="16"/>
      <c r="M31" s="16"/>
      <c r="N31" s="16"/>
      <c r="O31" s="1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15"/>
      <c r="AT31" s="15"/>
      <c r="AU31" s="22"/>
      <c r="AV31" s="22"/>
      <c r="AW31" s="22"/>
      <c r="AX31" s="22"/>
      <c r="AY31" s="22"/>
      <c r="AZ31" s="22"/>
      <c r="BA31" s="22">
        <f t="shared" si="1"/>
        <v>0</v>
      </c>
    </row>
    <row r="32" spans="1:53" x14ac:dyDescent="0.3">
      <c r="F32" s="10">
        <f>SUBTOTAL(9,F3:F31)</f>
        <v>55</v>
      </c>
      <c r="G32" s="10">
        <f>SUBTOTAL(9,G3:G31)</f>
        <v>47</v>
      </c>
      <c r="AQ32" s="11">
        <f>SUBTOTAL(9,AQ3:AQ31)</f>
        <v>244702</v>
      </c>
    </row>
    <row r="34" spans="1:53" x14ac:dyDescent="0.3">
      <c r="A34" s="19" t="s">
        <v>164</v>
      </c>
      <c r="B34" s="19" t="s">
        <v>70</v>
      </c>
      <c r="C34" s="19" t="s">
        <v>163</v>
      </c>
      <c r="H34" s="19" t="s">
        <v>165</v>
      </c>
      <c r="I34" s="19" t="s">
        <v>143</v>
      </c>
      <c r="AQ34" s="5" t="s">
        <v>180</v>
      </c>
    </row>
    <row r="35" spans="1:53" ht="28.8" x14ac:dyDescent="0.3">
      <c r="A35" s="26" t="s">
        <v>148</v>
      </c>
      <c r="B35" s="4" t="s">
        <v>153</v>
      </c>
      <c r="C35" s="15">
        <v>6</v>
      </c>
      <c r="H35" s="15" t="s">
        <v>166</v>
      </c>
      <c r="I35" s="15">
        <v>5</v>
      </c>
      <c r="AQ35" s="5" t="s">
        <v>181</v>
      </c>
    </row>
    <row r="36" spans="1:53" ht="28.8" x14ac:dyDescent="0.3">
      <c r="A36" s="26" t="s">
        <v>158</v>
      </c>
      <c r="B36" s="4" t="s">
        <v>162</v>
      </c>
      <c r="C36" s="15">
        <v>5</v>
      </c>
      <c r="H36" s="15" t="s">
        <v>167</v>
      </c>
      <c r="I36" s="15">
        <v>3</v>
      </c>
      <c r="AQ36" s="5" t="s">
        <v>182</v>
      </c>
      <c r="AS36" s="5" t="s">
        <v>183</v>
      </c>
    </row>
    <row r="37" spans="1:53" x14ac:dyDescent="0.3">
      <c r="A37" s="26" t="s">
        <v>119</v>
      </c>
      <c r="B37" s="4" t="s">
        <v>161</v>
      </c>
      <c r="C37" s="15">
        <v>4</v>
      </c>
      <c r="H37" s="15" t="s">
        <v>168</v>
      </c>
      <c r="I37" s="15">
        <v>1</v>
      </c>
      <c r="AQ37" s="5" t="s">
        <v>184</v>
      </c>
      <c r="AS37" s="5" t="s">
        <v>185</v>
      </c>
    </row>
    <row r="38" spans="1:53" ht="43.2" x14ac:dyDescent="0.3">
      <c r="A38" s="26" t="s">
        <v>155</v>
      </c>
      <c r="B38" s="4" t="s">
        <v>169</v>
      </c>
      <c r="C38" s="15">
        <v>3</v>
      </c>
    </row>
    <row r="39" spans="1:53" x14ac:dyDescent="0.3">
      <c r="A39" s="26" t="s">
        <v>149</v>
      </c>
      <c r="B39" s="4" t="s">
        <v>160</v>
      </c>
      <c r="C39" s="15">
        <v>2</v>
      </c>
    </row>
    <row r="40" spans="1:53" x14ac:dyDescent="0.3">
      <c r="A40" s="26" t="s">
        <v>157</v>
      </c>
      <c r="B40" s="4" t="s">
        <v>159</v>
      </c>
      <c r="C40" s="15">
        <v>1</v>
      </c>
    </row>
    <row r="43" spans="1:53" x14ac:dyDescent="0.3">
      <c r="A43" s="4" t="s">
        <v>1</v>
      </c>
      <c r="B43" s="4"/>
      <c r="C43" s="15" t="s">
        <v>27</v>
      </c>
      <c r="D43" s="15"/>
      <c r="E43" s="15" t="s">
        <v>138</v>
      </c>
      <c r="F43" s="15">
        <f t="shared" ref="F43:F49" si="2">IF(E43="S",1,IF(E43="M",2,IF(E43="L",4,0)))</f>
        <v>2</v>
      </c>
      <c r="G43" s="15"/>
      <c r="H43" s="15" t="s">
        <v>127</v>
      </c>
      <c r="I43" s="15" t="s">
        <v>127</v>
      </c>
      <c r="J43" s="15" t="s">
        <v>68</v>
      </c>
      <c r="K43" s="16"/>
      <c r="L43" s="16"/>
      <c r="M43" s="16"/>
      <c r="N43" s="16"/>
      <c r="O43" s="16" t="s">
        <v>115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>
        <v>4000</v>
      </c>
      <c r="AR43" s="7"/>
      <c r="AS43" s="15">
        <v>2024</v>
      </c>
      <c r="AT43" s="15"/>
      <c r="AU43" s="22"/>
      <c r="AV43" s="22"/>
      <c r="AW43" s="22"/>
      <c r="AX43" s="22"/>
      <c r="AY43" s="22"/>
      <c r="AZ43" s="22"/>
      <c r="BA43" s="22">
        <f t="shared" ref="BA43:BA49" si="3">AU43*$AU$1+AY43*$AY$1+AW43*$AW$1+AX43*$AX$1+AV43*$AV$1+AZ43*$AZ$1</f>
        <v>0</v>
      </c>
    </row>
    <row r="44" spans="1:53" ht="28.8" x14ac:dyDescent="0.3">
      <c r="A44" s="4" t="s">
        <v>150</v>
      </c>
      <c r="B44" s="4"/>
      <c r="C44" s="15" t="s">
        <v>27</v>
      </c>
      <c r="D44" s="15"/>
      <c r="E44" s="15"/>
      <c r="F44" s="15">
        <f t="shared" si="2"/>
        <v>0</v>
      </c>
      <c r="G44" s="15"/>
      <c r="H44" s="15" t="s">
        <v>127</v>
      </c>
      <c r="I44" s="15" t="s">
        <v>127</v>
      </c>
      <c r="J44" s="15" t="s">
        <v>68</v>
      </c>
      <c r="K44" s="16"/>
      <c r="L44" s="16"/>
      <c r="M44" s="16"/>
      <c r="N44" s="16"/>
      <c r="O44" s="16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>
        <v>12000</v>
      </c>
      <c r="AR44" s="7"/>
      <c r="AS44" s="15">
        <v>2023</v>
      </c>
      <c r="AT44" s="15"/>
      <c r="AU44" s="22"/>
      <c r="AV44" s="22"/>
      <c r="AW44" s="22"/>
      <c r="AX44" s="22"/>
      <c r="AY44" s="22"/>
      <c r="AZ44" s="22"/>
      <c r="BA44" s="22">
        <f t="shared" si="3"/>
        <v>0</v>
      </c>
    </row>
    <row r="45" spans="1:53" ht="28.8" x14ac:dyDescent="0.3">
      <c r="A45" s="4" t="s">
        <v>10</v>
      </c>
      <c r="B45" s="4"/>
      <c r="C45" s="15" t="s">
        <v>27</v>
      </c>
      <c r="D45" s="15"/>
      <c r="E45" s="15" t="s">
        <v>138</v>
      </c>
      <c r="F45" s="15">
        <f t="shared" si="2"/>
        <v>2</v>
      </c>
      <c r="G45" s="15"/>
      <c r="H45" s="15" t="s">
        <v>127</v>
      </c>
      <c r="I45" s="15" t="s">
        <v>69</v>
      </c>
      <c r="J45" s="15" t="s">
        <v>68</v>
      </c>
      <c r="K45" s="16" t="s">
        <v>115</v>
      </c>
      <c r="L45" s="16" t="s">
        <v>115</v>
      </c>
      <c r="M45" s="16"/>
      <c r="N45" s="16"/>
      <c r="O45" s="16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>
        <v>0</v>
      </c>
      <c r="AR45" s="7"/>
      <c r="AS45" s="15">
        <v>2024</v>
      </c>
      <c r="AT45" s="15"/>
      <c r="AU45" s="22"/>
      <c r="AV45" s="22"/>
      <c r="AW45" s="22"/>
      <c r="AX45" s="22"/>
      <c r="AY45" s="22"/>
      <c r="AZ45" s="22"/>
      <c r="BA45" s="22">
        <f t="shared" si="3"/>
        <v>0</v>
      </c>
    </row>
    <row r="46" spans="1:53" x14ac:dyDescent="0.3">
      <c r="A46" s="4" t="s">
        <v>124</v>
      </c>
      <c r="B46" s="4"/>
      <c r="C46" s="15" t="s">
        <v>27</v>
      </c>
      <c r="D46" s="15"/>
      <c r="E46" s="15"/>
      <c r="F46" s="15">
        <f t="shared" si="2"/>
        <v>0</v>
      </c>
      <c r="G46" s="15"/>
      <c r="H46" s="15" t="s">
        <v>127</v>
      </c>
      <c r="I46" s="15" t="s">
        <v>127</v>
      </c>
      <c r="J46" s="15" t="s">
        <v>68</v>
      </c>
      <c r="K46" s="16"/>
      <c r="L46" s="16"/>
      <c r="M46" s="16"/>
      <c r="N46" s="16"/>
      <c r="O46" s="16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>
        <v>13200</v>
      </c>
      <c r="AR46" s="7"/>
      <c r="AS46" s="15">
        <v>2023</v>
      </c>
      <c r="AT46" s="15"/>
      <c r="AU46" s="22"/>
      <c r="AV46" s="22"/>
      <c r="AW46" s="22"/>
      <c r="AX46" s="22"/>
      <c r="AY46" s="22"/>
      <c r="AZ46" s="22"/>
      <c r="BA46" s="22">
        <f t="shared" si="3"/>
        <v>0</v>
      </c>
    </row>
    <row r="47" spans="1:53" x14ac:dyDescent="0.3">
      <c r="A47" s="4" t="s">
        <v>124</v>
      </c>
      <c r="B47" s="4"/>
      <c r="C47" s="15" t="s">
        <v>27</v>
      </c>
      <c r="D47" s="15"/>
      <c r="E47" s="15"/>
      <c r="F47" s="15">
        <f t="shared" si="2"/>
        <v>0</v>
      </c>
      <c r="G47" s="15"/>
      <c r="H47" s="15" t="s">
        <v>127</v>
      </c>
      <c r="I47" s="15" t="s">
        <v>127</v>
      </c>
      <c r="J47" s="15" t="s">
        <v>68</v>
      </c>
      <c r="K47" s="16"/>
      <c r="L47" s="16"/>
      <c r="M47" s="16"/>
      <c r="N47" s="16"/>
      <c r="O47" s="1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>
        <v>13200</v>
      </c>
      <c r="AR47" s="7"/>
      <c r="AS47" s="15">
        <v>2023</v>
      </c>
      <c r="AT47" s="15"/>
      <c r="AU47" s="22"/>
      <c r="AV47" s="22"/>
      <c r="AW47" s="22"/>
      <c r="AX47" s="22"/>
      <c r="AY47" s="22"/>
      <c r="AZ47" s="22"/>
      <c r="BA47" s="22">
        <f t="shared" si="3"/>
        <v>0</v>
      </c>
    </row>
    <row r="48" spans="1:53" x14ac:dyDescent="0.3">
      <c r="A48" s="4" t="s">
        <v>125</v>
      </c>
      <c r="B48" s="4"/>
      <c r="C48" s="15" t="s">
        <v>27</v>
      </c>
      <c r="D48" s="15"/>
      <c r="E48" s="15"/>
      <c r="F48" s="15">
        <f t="shared" si="2"/>
        <v>0</v>
      </c>
      <c r="G48" s="15"/>
      <c r="H48" s="15" t="s">
        <v>127</v>
      </c>
      <c r="I48" s="15" t="s">
        <v>127</v>
      </c>
      <c r="J48" s="15" t="s">
        <v>68</v>
      </c>
      <c r="K48" s="16"/>
      <c r="L48" s="16"/>
      <c r="M48" s="16"/>
      <c r="N48" s="16"/>
      <c r="O48" s="16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>
        <v>4560</v>
      </c>
      <c r="AR48" s="7"/>
      <c r="AS48" s="15">
        <v>2023</v>
      </c>
      <c r="AT48" s="15"/>
      <c r="AU48" s="22"/>
      <c r="AV48" s="22"/>
      <c r="AW48" s="22"/>
      <c r="AX48" s="22"/>
      <c r="AY48" s="22"/>
      <c r="AZ48" s="22"/>
      <c r="BA48" s="22">
        <f t="shared" si="3"/>
        <v>0</v>
      </c>
    </row>
    <row r="49" spans="1:53" x14ac:dyDescent="0.3">
      <c r="A49" s="4" t="s">
        <v>126</v>
      </c>
      <c r="B49" s="4"/>
      <c r="C49" s="15" t="s">
        <v>27</v>
      </c>
      <c r="D49" s="15"/>
      <c r="E49" s="15"/>
      <c r="F49" s="15">
        <f t="shared" si="2"/>
        <v>0</v>
      </c>
      <c r="G49" s="15"/>
      <c r="H49" s="15" t="s">
        <v>127</v>
      </c>
      <c r="I49" s="15" t="s">
        <v>127</v>
      </c>
      <c r="J49" s="15" t="s">
        <v>68</v>
      </c>
      <c r="K49" s="16"/>
      <c r="L49" s="16"/>
      <c r="M49" s="16"/>
      <c r="N49" s="16"/>
      <c r="O49" s="1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>
        <v>7200</v>
      </c>
      <c r="AR49" s="7"/>
      <c r="AS49" s="15">
        <v>2023</v>
      </c>
      <c r="AT49" s="15"/>
      <c r="AU49" s="22"/>
      <c r="AV49" s="22"/>
      <c r="AW49" s="22"/>
      <c r="AX49" s="22"/>
      <c r="AY49" s="22"/>
      <c r="AZ49" s="22"/>
      <c r="BA49" s="22">
        <f t="shared" si="3"/>
        <v>0</v>
      </c>
    </row>
  </sheetData>
  <autoFilter ref="A2:BW31" xr:uid="{07BDA655-6DB5-4725-88DD-7703D1E1CA63}"/>
  <mergeCells count="3">
    <mergeCell ref="C1:D1"/>
    <mergeCell ref="E1:G1"/>
    <mergeCell ref="K1:O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BFC1-31E6-4E2E-AC40-227EE8C7BEFB}">
  <dimension ref="A1:BW82"/>
  <sheetViews>
    <sheetView showGridLines="0"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A55" sqref="A55:A82"/>
    </sheetView>
  </sheetViews>
  <sheetFormatPr baseColWidth="10" defaultColWidth="0" defaultRowHeight="14.4" x14ac:dyDescent="0.3"/>
  <cols>
    <col min="1" max="1" width="38.109375" style="6" customWidth="1"/>
    <col min="2" max="3" width="12.109375" style="13" customWidth="1"/>
    <col min="4" max="6" width="4" style="13" customWidth="1"/>
    <col min="7" max="11" width="3.6640625" style="13" customWidth="1"/>
    <col min="12" max="12" width="13.88671875" style="5" bestFit="1" customWidth="1"/>
    <col min="13" max="13" width="11.44140625" style="5" customWidth="1"/>
    <col min="14" max="14" width="8" style="5" bestFit="1" customWidth="1"/>
    <col min="15" max="17" width="11.44140625" style="5" customWidth="1"/>
    <col min="18" max="20" width="11.44140625" style="5" hidden="1" customWidth="1"/>
    <col min="21" max="22" width="0" style="5" hidden="1" customWidth="1"/>
    <col min="23" max="27" width="11.44140625" style="5" hidden="1" customWidth="1"/>
    <col min="28" max="44" width="0" style="5" hidden="1" customWidth="1"/>
    <col min="45" max="47" width="11.44140625" style="5" hidden="1" customWidth="1"/>
    <col min="48" max="49" width="0" style="5" hidden="1" customWidth="1"/>
    <col min="50" max="54" width="11.44140625" style="5" hidden="1" customWidth="1"/>
    <col min="55" max="75" width="0" style="5" hidden="1" customWidth="1"/>
    <col min="76" max="16384" width="11.44140625" style="5" hidden="1"/>
  </cols>
  <sheetData>
    <row r="1" spans="1:14" ht="43.2" x14ac:dyDescent="0.3">
      <c r="A1" s="9" t="s">
        <v>49</v>
      </c>
      <c r="B1" s="10" t="s">
        <v>104</v>
      </c>
      <c r="C1" s="10" t="s">
        <v>237</v>
      </c>
      <c r="D1" s="23" t="s">
        <v>137</v>
      </c>
      <c r="E1" s="23" t="s">
        <v>143</v>
      </c>
      <c r="F1" s="23" t="s">
        <v>156</v>
      </c>
      <c r="G1" s="20" t="s">
        <v>82</v>
      </c>
      <c r="H1" s="20" t="s">
        <v>76</v>
      </c>
      <c r="I1" s="20" t="s">
        <v>154</v>
      </c>
      <c r="J1" s="20" t="s">
        <v>130</v>
      </c>
      <c r="K1" s="20" t="s">
        <v>117</v>
      </c>
      <c r="L1" s="10" t="s">
        <v>66</v>
      </c>
      <c r="M1" s="10" t="s">
        <v>129</v>
      </c>
      <c r="N1" s="10" t="s">
        <v>244</v>
      </c>
    </row>
    <row r="2" spans="1:14" ht="28.8" x14ac:dyDescent="0.3">
      <c r="A2" s="4" t="s">
        <v>229</v>
      </c>
      <c r="B2" s="15" t="s">
        <v>243</v>
      </c>
      <c r="C2" s="15" t="s">
        <v>16</v>
      </c>
      <c r="D2" s="15" t="s">
        <v>139</v>
      </c>
      <c r="E2" s="15">
        <f t="shared" ref="E2:E82" si="0">IF(D2="S",1,IF(D2="M",2,IF(D2="L",4,0)))</f>
        <v>4</v>
      </c>
      <c r="F2" s="15">
        <v>4</v>
      </c>
      <c r="G2" s="16" t="s">
        <v>115</v>
      </c>
      <c r="H2" s="16" t="s">
        <v>115</v>
      </c>
      <c r="I2" s="16"/>
      <c r="J2" s="16"/>
      <c r="K2" s="16"/>
      <c r="L2" s="7">
        <v>12000</v>
      </c>
      <c r="M2" s="28">
        <v>2023</v>
      </c>
      <c r="N2" s="15" t="s">
        <v>238</v>
      </c>
    </row>
    <row r="3" spans="1:14" x14ac:dyDescent="0.3">
      <c r="A3" s="4" t="s">
        <v>89</v>
      </c>
      <c r="B3" s="15" t="s">
        <v>243</v>
      </c>
      <c r="C3" s="15" t="s">
        <v>16</v>
      </c>
      <c r="D3" s="15" t="s">
        <v>138</v>
      </c>
      <c r="E3" s="15">
        <f t="shared" si="0"/>
        <v>2</v>
      </c>
      <c r="F3" s="15">
        <v>2</v>
      </c>
      <c r="G3" s="16" t="s">
        <v>115</v>
      </c>
      <c r="H3" s="16"/>
      <c r="I3" s="16"/>
      <c r="J3" s="16"/>
      <c r="K3" s="16"/>
      <c r="L3" s="7">
        <v>12000</v>
      </c>
      <c r="M3" s="28">
        <v>2023</v>
      </c>
      <c r="N3" s="15" t="s">
        <v>238</v>
      </c>
    </row>
    <row r="4" spans="1:14" x14ac:dyDescent="0.3">
      <c r="A4" s="4" t="s">
        <v>133</v>
      </c>
      <c r="B4" s="15" t="s">
        <v>21</v>
      </c>
      <c r="C4" s="15" t="s">
        <v>21</v>
      </c>
      <c r="D4" s="15" t="s">
        <v>139</v>
      </c>
      <c r="E4" s="15">
        <f t="shared" si="0"/>
        <v>4</v>
      </c>
      <c r="F4" s="15">
        <v>4</v>
      </c>
      <c r="G4" s="16" t="s">
        <v>115</v>
      </c>
      <c r="H4" s="16"/>
      <c r="I4" s="16"/>
      <c r="J4" s="16"/>
      <c r="K4" s="16"/>
      <c r="L4" s="7">
        <v>20000</v>
      </c>
      <c r="M4" s="28">
        <v>2023</v>
      </c>
      <c r="N4" s="15" t="s">
        <v>238</v>
      </c>
    </row>
    <row r="5" spans="1:14" x14ac:dyDescent="0.3">
      <c r="A5" s="4" t="s">
        <v>135</v>
      </c>
      <c r="B5" s="15" t="s">
        <v>21</v>
      </c>
      <c r="C5" s="15" t="s">
        <v>21</v>
      </c>
      <c r="D5" s="15" t="s">
        <v>139</v>
      </c>
      <c r="E5" s="15">
        <f t="shared" si="0"/>
        <v>4</v>
      </c>
      <c r="F5" s="15">
        <v>4</v>
      </c>
      <c r="G5" s="16" t="s">
        <v>115</v>
      </c>
      <c r="H5" s="16"/>
      <c r="I5" s="16"/>
      <c r="J5" s="16" t="s">
        <v>115</v>
      </c>
      <c r="K5" s="16"/>
      <c r="L5" s="7">
        <v>25000</v>
      </c>
      <c r="M5" s="28">
        <v>2023</v>
      </c>
      <c r="N5" s="15" t="s">
        <v>238</v>
      </c>
    </row>
    <row r="6" spans="1:14" ht="28.8" x14ac:dyDescent="0.3">
      <c r="A6" s="4" t="s">
        <v>193</v>
      </c>
      <c r="B6" s="15" t="s">
        <v>15</v>
      </c>
      <c r="C6" s="15" t="s">
        <v>15</v>
      </c>
      <c r="D6" s="15" t="s">
        <v>140</v>
      </c>
      <c r="E6" s="15">
        <f t="shared" si="0"/>
        <v>1</v>
      </c>
      <c r="F6" s="15">
        <v>1</v>
      </c>
      <c r="G6" s="16"/>
      <c r="H6" s="16" t="s">
        <v>115</v>
      </c>
      <c r="I6" s="16"/>
      <c r="J6" s="16"/>
      <c r="K6" s="16"/>
      <c r="L6" s="7">
        <v>7000</v>
      </c>
      <c r="M6" s="28" t="s">
        <v>224</v>
      </c>
      <c r="N6" s="15" t="s">
        <v>238</v>
      </c>
    </row>
    <row r="7" spans="1:14" x14ac:dyDescent="0.3">
      <c r="A7" s="4" t="s">
        <v>79</v>
      </c>
      <c r="B7" s="15" t="s">
        <v>243</v>
      </c>
      <c r="C7" s="15" t="s">
        <v>19</v>
      </c>
      <c r="D7" s="15" t="s">
        <v>139</v>
      </c>
      <c r="E7" s="15">
        <f t="shared" si="0"/>
        <v>4</v>
      </c>
      <c r="F7" s="15">
        <v>1</v>
      </c>
      <c r="G7" s="16" t="s">
        <v>115</v>
      </c>
      <c r="H7" s="16"/>
      <c r="I7" s="16"/>
      <c r="J7" s="16"/>
      <c r="K7" s="16" t="s">
        <v>115</v>
      </c>
      <c r="L7" s="7">
        <v>80000</v>
      </c>
      <c r="M7" s="28" t="s">
        <v>179</v>
      </c>
      <c r="N7" s="15" t="s">
        <v>238</v>
      </c>
    </row>
    <row r="8" spans="1:14" ht="28.8" x14ac:dyDescent="0.3">
      <c r="A8" s="4" t="s">
        <v>223</v>
      </c>
      <c r="B8" s="15" t="s">
        <v>110</v>
      </c>
      <c r="C8" s="15" t="s">
        <v>13</v>
      </c>
      <c r="D8" s="15" t="s">
        <v>138</v>
      </c>
      <c r="E8" s="15">
        <f t="shared" si="0"/>
        <v>2</v>
      </c>
      <c r="F8" s="15">
        <v>0</v>
      </c>
      <c r="G8" s="16" t="s">
        <v>115</v>
      </c>
      <c r="H8" s="16"/>
      <c r="I8" s="16" t="s">
        <v>115</v>
      </c>
      <c r="J8" s="16"/>
      <c r="K8" s="16" t="s">
        <v>115</v>
      </c>
      <c r="L8" s="7">
        <v>5000</v>
      </c>
      <c r="M8" s="28" t="s">
        <v>224</v>
      </c>
      <c r="N8" s="15" t="s">
        <v>238</v>
      </c>
    </row>
    <row r="9" spans="1:14" ht="28.8" x14ac:dyDescent="0.3">
      <c r="A9" s="4" t="s">
        <v>151</v>
      </c>
      <c r="B9" s="15" t="s">
        <v>15</v>
      </c>
      <c r="C9" s="15" t="s">
        <v>15</v>
      </c>
      <c r="D9" s="15" t="s">
        <v>139</v>
      </c>
      <c r="E9" s="15">
        <f>IF(D9="S",1,IF(D9="M",2,IF(D9="L",4,0)))</f>
        <v>4</v>
      </c>
      <c r="F9" s="15">
        <v>4</v>
      </c>
      <c r="G9" s="16" t="s">
        <v>115</v>
      </c>
      <c r="H9" s="16" t="s">
        <v>115</v>
      </c>
      <c r="I9" s="16"/>
      <c r="J9" s="16" t="s">
        <v>115</v>
      </c>
      <c r="K9" s="16"/>
      <c r="L9" s="7">
        <v>16000</v>
      </c>
      <c r="M9" s="28" t="s">
        <v>224</v>
      </c>
      <c r="N9" s="15" t="s">
        <v>238</v>
      </c>
    </row>
    <row r="10" spans="1:14" ht="28.8" x14ac:dyDescent="0.3">
      <c r="A10" s="4" t="s">
        <v>172</v>
      </c>
      <c r="B10" s="15" t="s">
        <v>243</v>
      </c>
      <c r="C10" s="15" t="s">
        <v>97</v>
      </c>
      <c r="D10" s="15" t="s">
        <v>140</v>
      </c>
      <c r="E10" s="15">
        <f t="shared" si="0"/>
        <v>1</v>
      </c>
      <c r="F10" s="15">
        <v>0</v>
      </c>
      <c r="G10" s="16"/>
      <c r="H10" s="16"/>
      <c r="I10" s="16" t="s">
        <v>115</v>
      </c>
      <c r="J10" s="16"/>
      <c r="K10" s="16"/>
      <c r="L10" s="27">
        <v>0</v>
      </c>
      <c r="M10" s="28" t="s">
        <v>179</v>
      </c>
      <c r="N10" s="15" t="s">
        <v>238</v>
      </c>
    </row>
    <row r="11" spans="1:14" ht="28.8" x14ac:dyDescent="0.3">
      <c r="A11" s="4" t="s">
        <v>215</v>
      </c>
      <c r="B11" s="15" t="s">
        <v>243</v>
      </c>
      <c r="C11" s="15" t="s">
        <v>19</v>
      </c>
      <c r="D11" s="15" t="s">
        <v>139</v>
      </c>
      <c r="E11" s="15">
        <f t="shared" si="0"/>
        <v>4</v>
      </c>
      <c r="F11" s="15">
        <v>4</v>
      </c>
      <c r="G11" s="16" t="s">
        <v>115</v>
      </c>
      <c r="H11" s="16"/>
      <c r="I11" s="16"/>
      <c r="J11" s="16"/>
      <c r="K11" s="16"/>
      <c r="L11" s="7">
        <v>16000</v>
      </c>
      <c r="M11" s="28" t="s">
        <v>224</v>
      </c>
      <c r="N11" s="15" t="s">
        <v>238</v>
      </c>
    </row>
    <row r="12" spans="1:14" x14ac:dyDescent="0.3">
      <c r="A12" s="4" t="s">
        <v>98</v>
      </c>
      <c r="B12" s="15" t="s">
        <v>14</v>
      </c>
      <c r="C12" s="15" t="s">
        <v>14</v>
      </c>
      <c r="D12" s="15" t="s">
        <v>139</v>
      </c>
      <c r="E12" s="15">
        <f t="shared" si="0"/>
        <v>4</v>
      </c>
      <c r="F12" s="15">
        <v>4</v>
      </c>
      <c r="G12" s="16"/>
      <c r="H12" s="16"/>
      <c r="I12" s="16"/>
      <c r="J12" s="16"/>
      <c r="K12" s="16" t="s">
        <v>115</v>
      </c>
      <c r="L12" s="7">
        <v>20000</v>
      </c>
      <c r="M12" s="28" t="s">
        <v>179</v>
      </c>
      <c r="N12" s="15" t="s">
        <v>238</v>
      </c>
    </row>
    <row r="13" spans="1:14" ht="28.8" x14ac:dyDescent="0.3">
      <c r="A13" s="4" t="s">
        <v>145</v>
      </c>
      <c r="B13" s="15" t="s">
        <v>243</v>
      </c>
      <c r="C13" s="15" t="s">
        <v>19</v>
      </c>
      <c r="D13" s="15" t="s">
        <v>139</v>
      </c>
      <c r="E13" s="15">
        <f t="shared" si="0"/>
        <v>4</v>
      </c>
      <c r="F13" s="15">
        <v>4</v>
      </c>
      <c r="G13" s="16" t="s">
        <v>115</v>
      </c>
      <c r="H13" s="16"/>
      <c r="I13" s="16"/>
      <c r="J13" s="16" t="s">
        <v>115</v>
      </c>
      <c r="K13" s="16"/>
      <c r="L13" s="7">
        <v>22500</v>
      </c>
      <c r="M13" s="28">
        <v>2023</v>
      </c>
      <c r="N13" s="15" t="s">
        <v>238</v>
      </c>
    </row>
    <row r="14" spans="1:14" ht="28.8" x14ac:dyDescent="0.3">
      <c r="A14" s="4" t="s">
        <v>147</v>
      </c>
      <c r="B14" s="15" t="s">
        <v>243</v>
      </c>
      <c r="C14" s="15" t="s">
        <v>19</v>
      </c>
      <c r="D14" s="15" t="s">
        <v>138</v>
      </c>
      <c r="E14" s="15">
        <f t="shared" si="0"/>
        <v>2</v>
      </c>
      <c r="F14" s="15">
        <v>1</v>
      </c>
      <c r="G14" s="16" t="s">
        <v>115</v>
      </c>
      <c r="H14" s="16"/>
      <c r="I14" s="16"/>
      <c r="J14" s="16"/>
      <c r="K14" s="16"/>
      <c r="L14" s="7">
        <v>20000</v>
      </c>
      <c r="M14" s="28">
        <v>2023</v>
      </c>
      <c r="N14" s="15" t="s">
        <v>238</v>
      </c>
    </row>
    <row r="15" spans="1:14" x14ac:dyDescent="0.3">
      <c r="A15" s="4" t="s">
        <v>136</v>
      </c>
      <c r="B15" s="15" t="s">
        <v>243</v>
      </c>
      <c r="C15" s="15" t="s">
        <v>16</v>
      </c>
      <c r="D15" s="15" t="s">
        <v>138</v>
      </c>
      <c r="E15" s="15">
        <f t="shared" si="0"/>
        <v>2</v>
      </c>
      <c r="F15" s="15">
        <v>2</v>
      </c>
      <c r="G15" s="16" t="s">
        <v>115</v>
      </c>
      <c r="H15" s="16"/>
      <c r="I15" s="16"/>
      <c r="J15" s="16"/>
      <c r="K15" s="16" t="s">
        <v>115</v>
      </c>
      <c r="L15" s="7">
        <v>9000</v>
      </c>
      <c r="M15" s="28">
        <v>2023</v>
      </c>
      <c r="N15" s="15" t="s">
        <v>238</v>
      </c>
    </row>
    <row r="16" spans="1:14" x14ac:dyDescent="0.3">
      <c r="A16" s="4" t="s">
        <v>43</v>
      </c>
      <c r="B16" s="15" t="s">
        <v>15</v>
      </c>
      <c r="C16" s="15" t="s">
        <v>15</v>
      </c>
      <c r="D16" s="15" t="s">
        <v>138</v>
      </c>
      <c r="E16" s="15">
        <f t="shared" si="0"/>
        <v>2</v>
      </c>
      <c r="F16" s="15">
        <v>2</v>
      </c>
      <c r="G16" s="16" t="s">
        <v>115</v>
      </c>
      <c r="H16" s="16" t="s">
        <v>115</v>
      </c>
      <c r="I16" s="16"/>
      <c r="J16" s="16"/>
      <c r="K16" s="16"/>
      <c r="L16" s="7">
        <v>13000</v>
      </c>
      <c r="M16" s="28">
        <v>2023</v>
      </c>
      <c r="N16" s="15" t="s">
        <v>238</v>
      </c>
    </row>
    <row r="17" spans="1:14" ht="28.8" x14ac:dyDescent="0.3">
      <c r="A17" s="4" t="s">
        <v>91</v>
      </c>
      <c r="B17" s="15" t="s">
        <v>15</v>
      </c>
      <c r="C17" s="15" t="s">
        <v>15</v>
      </c>
      <c r="D17" s="15" t="s">
        <v>138</v>
      </c>
      <c r="E17" s="15">
        <f t="shared" si="0"/>
        <v>2</v>
      </c>
      <c r="F17" s="15">
        <v>2</v>
      </c>
      <c r="G17" s="16" t="s">
        <v>115</v>
      </c>
      <c r="H17" s="16" t="s">
        <v>115</v>
      </c>
      <c r="I17" s="16"/>
      <c r="J17" s="16"/>
      <c r="K17" s="16"/>
      <c r="L17" s="7">
        <v>13000</v>
      </c>
      <c r="M17" s="28">
        <v>2023</v>
      </c>
      <c r="N17" s="15" t="s">
        <v>238</v>
      </c>
    </row>
    <row r="18" spans="1:14" ht="28.8" x14ac:dyDescent="0.3">
      <c r="A18" s="4" t="s">
        <v>171</v>
      </c>
      <c r="B18" s="15" t="s">
        <v>15</v>
      </c>
      <c r="C18" s="15" t="s">
        <v>15</v>
      </c>
      <c r="D18" s="15" t="s">
        <v>138</v>
      </c>
      <c r="E18" s="15">
        <f t="shared" si="0"/>
        <v>2</v>
      </c>
      <c r="F18" s="15">
        <v>2</v>
      </c>
      <c r="G18" s="16" t="s">
        <v>115</v>
      </c>
      <c r="H18" s="16"/>
      <c r="I18" s="16"/>
      <c r="J18" s="16"/>
      <c r="K18" s="16"/>
      <c r="L18" s="7">
        <v>5000</v>
      </c>
      <c r="M18" s="28" t="s">
        <v>224</v>
      </c>
      <c r="N18" s="15" t="s">
        <v>238</v>
      </c>
    </row>
    <row r="19" spans="1:14" ht="28.8" x14ac:dyDescent="0.3">
      <c r="A19" s="4" t="s">
        <v>132</v>
      </c>
      <c r="B19" s="15" t="s">
        <v>110</v>
      </c>
      <c r="C19" s="15" t="s">
        <v>174</v>
      </c>
      <c r="D19" s="15" t="s">
        <v>138</v>
      </c>
      <c r="E19" s="15">
        <f t="shared" si="0"/>
        <v>2</v>
      </c>
      <c r="F19" s="15">
        <v>2</v>
      </c>
      <c r="G19" s="16" t="s">
        <v>115</v>
      </c>
      <c r="H19" s="16"/>
      <c r="I19" s="16" t="s">
        <v>115</v>
      </c>
      <c r="J19" s="16"/>
      <c r="K19" s="16"/>
      <c r="L19" s="7">
        <v>18000</v>
      </c>
      <c r="M19" s="28" t="s">
        <v>224</v>
      </c>
      <c r="N19" s="15" t="s">
        <v>238</v>
      </c>
    </row>
    <row r="20" spans="1:14" ht="28.8" x14ac:dyDescent="0.3">
      <c r="A20" s="4" t="s">
        <v>173</v>
      </c>
      <c r="B20" s="15" t="s">
        <v>110</v>
      </c>
      <c r="C20" s="15" t="s">
        <v>13</v>
      </c>
      <c r="D20" s="15" t="s">
        <v>140</v>
      </c>
      <c r="E20" s="15">
        <f t="shared" si="0"/>
        <v>1</v>
      </c>
      <c r="F20" s="15">
        <v>0</v>
      </c>
      <c r="G20" s="16"/>
      <c r="H20" s="16"/>
      <c r="I20" s="16" t="s">
        <v>115</v>
      </c>
      <c r="J20" s="16"/>
      <c r="K20" s="16"/>
      <c r="L20" s="7">
        <v>4000</v>
      </c>
      <c r="M20" s="28">
        <v>2023</v>
      </c>
      <c r="N20" s="15" t="s">
        <v>238</v>
      </c>
    </row>
    <row r="21" spans="1:14" x14ac:dyDescent="0.3">
      <c r="A21" s="4" t="s">
        <v>234</v>
      </c>
      <c r="B21" s="15" t="s">
        <v>243</v>
      </c>
      <c r="C21" s="15" t="s">
        <v>97</v>
      </c>
      <c r="D21" s="15" t="s">
        <v>138</v>
      </c>
      <c r="E21" s="15">
        <f>IF(D21="S",1,IF(D21="M",2,IF(D21="L",4,0)))</f>
        <v>2</v>
      </c>
      <c r="F21" s="15">
        <v>2</v>
      </c>
      <c r="G21" s="16" t="s">
        <v>115</v>
      </c>
      <c r="H21" s="16" t="s">
        <v>115</v>
      </c>
      <c r="I21" s="16" t="s">
        <v>115</v>
      </c>
      <c r="J21" s="16" t="s">
        <v>115</v>
      </c>
      <c r="K21" s="16"/>
      <c r="L21" s="7">
        <v>5000</v>
      </c>
      <c r="M21" s="28">
        <v>2023</v>
      </c>
      <c r="N21" s="15" t="s">
        <v>238</v>
      </c>
    </row>
    <row r="22" spans="1:14" ht="28.8" x14ac:dyDescent="0.3">
      <c r="A22" s="4" t="s">
        <v>186</v>
      </c>
      <c r="B22" s="15" t="s">
        <v>110</v>
      </c>
      <c r="C22" s="15" t="s">
        <v>13</v>
      </c>
      <c r="D22" s="15" t="s">
        <v>138</v>
      </c>
      <c r="E22" s="15">
        <f t="shared" si="0"/>
        <v>2</v>
      </c>
      <c r="F22" s="15">
        <v>2</v>
      </c>
      <c r="G22" s="16" t="s">
        <v>115</v>
      </c>
      <c r="H22" s="16"/>
      <c r="I22" s="16"/>
      <c r="J22" s="16"/>
      <c r="K22" s="16"/>
      <c r="L22" s="7">
        <v>5000</v>
      </c>
      <c r="M22" s="28" t="s">
        <v>224</v>
      </c>
      <c r="N22" s="15" t="s">
        <v>239</v>
      </c>
    </row>
    <row r="23" spans="1:14" ht="28.8" x14ac:dyDescent="0.3">
      <c r="A23" s="4" t="s">
        <v>231</v>
      </c>
      <c r="B23" s="15" t="s">
        <v>15</v>
      </c>
      <c r="C23" s="15" t="s">
        <v>15</v>
      </c>
      <c r="D23" s="15" t="s">
        <v>140</v>
      </c>
      <c r="E23" s="15">
        <f t="shared" si="0"/>
        <v>1</v>
      </c>
      <c r="F23" s="15">
        <v>1</v>
      </c>
      <c r="G23" s="16"/>
      <c r="H23" s="16" t="s">
        <v>115</v>
      </c>
      <c r="I23" s="16"/>
      <c r="J23" s="16"/>
      <c r="K23" s="16"/>
      <c r="L23" s="7">
        <v>3000</v>
      </c>
      <c r="M23" s="28" t="s">
        <v>179</v>
      </c>
      <c r="N23" s="15" t="s">
        <v>238</v>
      </c>
    </row>
    <row r="24" spans="1:14" x14ac:dyDescent="0.3">
      <c r="A24" s="4" t="s">
        <v>77</v>
      </c>
      <c r="B24" s="15" t="s">
        <v>15</v>
      </c>
      <c r="C24" s="15" t="s">
        <v>15</v>
      </c>
      <c r="D24" s="15" t="s">
        <v>138</v>
      </c>
      <c r="E24" s="15">
        <f t="shared" si="0"/>
        <v>2</v>
      </c>
      <c r="F24" s="15">
        <v>2</v>
      </c>
      <c r="G24" s="16"/>
      <c r="H24" s="16" t="s">
        <v>115</v>
      </c>
      <c r="I24" s="16"/>
      <c r="J24" s="16"/>
      <c r="K24" s="16"/>
      <c r="L24" s="7">
        <v>10000</v>
      </c>
      <c r="M24" s="28" t="s">
        <v>179</v>
      </c>
      <c r="N24" s="15" t="s">
        <v>238</v>
      </c>
    </row>
    <row r="25" spans="1:14" x14ac:dyDescent="0.3">
      <c r="A25" s="4" t="s">
        <v>230</v>
      </c>
      <c r="B25" s="15" t="s">
        <v>243</v>
      </c>
      <c r="C25" s="15" t="s">
        <v>19</v>
      </c>
      <c r="D25" s="15" t="s">
        <v>140</v>
      </c>
      <c r="E25" s="15">
        <f t="shared" si="0"/>
        <v>1</v>
      </c>
      <c r="F25" s="15">
        <v>1</v>
      </c>
      <c r="G25" s="16" t="s">
        <v>115</v>
      </c>
      <c r="H25" s="16"/>
      <c r="I25" s="16"/>
      <c r="J25" s="16"/>
      <c r="K25" s="16"/>
      <c r="L25" s="7">
        <v>5000</v>
      </c>
      <c r="M25" s="28">
        <v>2023</v>
      </c>
      <c r="N25" s="15" t="s">
        <v>238</v>
      </c>
    </row>
    <row r="26" spans="1:14" x14ac:dyDescent="0.3">
      <c r="A26" s="4" t="s">
        <v>233</v>
      </c>
      <c r="B26" s="15" t="s">
        <v>15</v>
      </c>
      <c r="C26" s="15" t="s">
        <v>15</v>
      </c>
      <c r="D26" s="15" t="s">
        <v>138</v>
      </c>
      <c r="E26" s="15">
        <f t="shared" si="0"/>
        <v>2</v>
      </c>
      <c r="F26" s="15">
        <v>2</v>
      </c>
      <c r="G26" s="16" t="s">
        <v>115</v>
      </c>
      <c r="H26" s="16" t="s">
        <v>115</v>
      </c>
      <c r="I26" s="16"/>
      <c r="J26" s="16"/>
      <c r="K26" s="16"/>
      <c r="L26" s="7">
        <v>10000</v>
      </c>
      <c r="M26" s="28" t="s">
        <v>179</v>
      </c>
      <c r="N26" s="15" t="s">
        <v>238</v>
      </c>
    </row>
    <row r="27" spans="1:14" x14ac:dyDescent="0.3">
      <c r="A27" s="4" t="s">
        <v>131</v>
      </c>
      <c r="B27" s="15" t="s">
        <v>110</v>
      </c>
      <c r="C27" s="15" t="s">
        <v>13</v>
      </c>
      <c r="D27" s="15" t="s">
        <v>138</v>
      </c>
      <c r="E27" s="15">
        <f t="shared" si="0"/>
        <v>2</v>
      </c>
      <c r="F27" s="15">
        <v>1</v>
      </c>
      <c r="G27" s="16" t="s">
        <v>115</v>
      </c>
      <c r="H27" s="16"/>
      <c r="I27" s="16" t="s">
        <v>115</v>
      </c>
      <c r="J27" s="16"/>
      <c r="K27" s="16"/>
      <c r="L27" s="7">
        <v>20000</v>
      </c>
      <c r="M27" s="28">
        <v>2023</v>
      </c>
      <c r="N27" s="15" t="s">
        <v>238</v>
      </c>
    </row>
    <row r="28" spans="1:14" x14ac:dyDescent="0.3">
      <c r="A28" s="4" t="s">
        <v>29</v>
      </c>
      <c r="B28" s="15" t="s">
        <v>110</v>
      </c>
      <c r="C28" s="15" t="s">
        <v>13</v>
      </c>
      <c r="D28" s="15" t="s">
        <v>138</v>
      </c>
      <c r="E28" s="15">
        <f t="shared" si="0"/>
        <v>2</v>
      </c>
      <c r="F28" s="15">
        <v>2</v>
      </c>
      <c r="G28" s="16"/>
      <c r="H28" s="16"/>
      <c r="I28" s="16" t="s">
        <v>115</v>
      </c>
      <c r="J28" s="16"/>
      <c r="K28" s="16"/>
      <c r="L28" s="7">
        <f>3800*4</f>
        <v>15200</v>
      </c>
      <c r="M28" s="28" t="s">
        <v>179</v>
      </c>
      <c r="N28" s="15" t="s">
        <v>239</v>
      </c>
    </row>
    <row r="29" spans="1:14" ht="28.8" x14ac:dyDescent="0.3">
      <c r="A29" s="4" t="s">
        <v>187</v>
      </c>
      <c r="B29" s="15" t="s">
        <v>110</v>
      </c>
      <c r="C29" s="15" t="s">
        <v>13</v>
      </c>
      <c r="D29" s="15" t="s">
        <v>138</v>
      </c>
      <c r="E29" s="15">
        <f t="shared" si="0"/>
        <v>2</v>
      </c>
      <c r="F29" s="15">
        <v>2</v>
      </c>
      <c r="G29" s="16" t="s">
        <v>115</v>
      </c>
      <c r="H29" s="16"/>
      <c r="I29" s="16" t="s">
        <v>115</v>
      </c>
      <c r="J29" s="16"/>
      <c r="K29" s="16"/>
      <c r="L29" s="7">
        <v>10000</v>
      </c>
      <c r="M29" s="28" t="s">
        <v>224</v>
      </c>
      <c r="N29" s="15" t="s">
        <v>239</v>
      </c>
    </row>
    <row r="30" spans="1:14" ht="28.8" x14ac:dyDescent="0.3">
      <c r="A30" s="4" t="s">
        <v>188</v>
      </c>
      <c r="B30" s="15" t="s">
        <v>110</v>
      </c>
      <c r="C30" s="15" t="s">
        <v>174</v>
      </c>
      <c r="D30" s="15" t="s">
        <v>138</v>
      </c>
      <c r="E30" s="15">
        <f t="shared" si="0"/>
        <v>2</v>
      </c>
      <c r="F30" s="15">
        <v>1</v>
      </c>
      <c r="G30" s="16"/>
      <c r="H30" s="16"/>
      <c r="I30" s="16" t="s">
        <v>115</v>
      </c>
      <c r="J30" s="16"/>
      <c r="K30" s="16"/>
      <c r="L30" s="7">
        <f>2500*4</f>
        <v>10000</v>
      </c>
      <c r="M30" s="28" t="s">
        <v>224</v>
      </c>
      <c r="N30" s="15" t="s">
        <v>239</v>
      </c>
    </row>
    <row r="31" spans="1:14" ht="28.8" x14ac:dyDescent="0.3">
      <c r="A31" s="4" t="s">
        <v>146</v>
      </c>
      <c r="B31" s="15" t="s">
        <v>14</v>
      </c>
      <c r="C31" s="15" t="s">
        <v>14</v>
      </c>
      <c r="D31" s="15" t="s">
        <v>139</v>
      </c>
      <c r="E31" s="15">
        <f t="shared" si="0"/>
        <v>4</v>
      </c>
      <c r="F31" s="15">
        <v>4</v>
      </c>
      <c r="G31" s="16" t="s">
        <v>115</v>
      </c>
      <c r="H31" s="16"/>
      <c r="I31" s="16"/>
      <c r="J31" s="16" t="s">
        <v>115</v>
      </c>
      <c r="K31" s="16"/>
      <c r="L31" s="7">
        <v>22500</v>
      </c>
      <c r="M31" s="28">
        <v>2023</v>
      </c>
      <c r="N31" s="15" t="s">
        <v>238</v>
      </c>
    </row>
    <row r="32" spans="1:14" ht="28.8" x14ac:dyDescent="0.3">
      <c r="A32" s="4" t="s">
        <v>123</v>
      </c>
      <c r="B32" s="15" t="s">
        <v>243</v>
      </c>
      <c r="C32" s="15" t="s">
        <v>16</v>
      </c>
      <c r="D32" s="15" t="s">
        <v>138</v>
      </c>
      <c r="E32" s="15">
        <f t="shared" si="0"/>
        <v>2</v>
      </c>
      <c r="F32" s="15">
        <v>0</v>
      </c>
      <c r="G32" s="16"/>
      <c r="H32" s="16" t="s">
        <v>115</v>
      </c>
      <c r="I32" s="16"/>
      <c r="J32" s="16"/>
      <c r="K32" s="16"/>
      <c r="L32" s="7">
        <v>12000</v>
      </c>
      <c r="M32" s="28" t="s">
        <v>224</v>
      </c>
      <c r="N32" s="15" t="s">
        <v>238</v>
      </c>
    </row>
    <row r="33" spans="1:14" x14ac:dyDescent="0.3">
      <c r="A33" s="4" t="s">
        <v>71</v>
      </c>
      <c r="B33" s="15" t="s">
        <v>15</v>
      </c>
      <c r="C33" s="15" t="s">
        <v>15</v>
      </c>
      <c r="D33" s="15" t="s">
        <v>138</v>
      </c>
      <c r="E33" s="15">
        <f t="shared" si="0"/>
        <v>2</v>
      </c>
      <c r="F33" s="15">
        <v>2</v>
      </c>
      <c r="G33" s="16" t="s">
        <v>115</v>
      </c>
      <c r="H33" s="16" t="s">
        <v>115</v>
      </c>
      <c r="I33" s="16"/>
      <c r="J33" s="16"/>
      <c r="K33" s="16"/>
      <c r="L33" s="7">
        <v>10000</v>
      </c>
      <c r="M33" s="28">
        <v>2023</v>
      </c>
      <c r="N33" s="15" t="s">
        <v>238</v>
      </c>
    </row>
    <row r="34" spans="1:14" x14ac:dyDescent="0.3">
      <c r="A34" s="4" t="s">
        <v>118</v>
      </c>
      <c r="B34" s="15" t="s">
        <v>15</v>
      </c>
      <c r="C34" s="15" t="s">
        <v>15</v>
      </c>
      <c r="D34" s="15" t="s">
        <v>138</v>
      </c>
      <c r="E34" s="15">
        <f t="shared" si="0"/>
        <v>2</v>
      </c>
      <c r="F34" s="15">
        <v>2</v>
      </c>
      <c r="G34" s="16" t="s">
        <v>115</v>
      </c>
      <c r="H34" s="16" t="s">
        <v>115</v>
      </c>
      <c r="I34" s="16"/>
      <c r="J34" s="16"/>
      <c r="K34" s="16"/>
      <c r="L34" s="7">
        <v>8000</v>
      </c>
      <c r="M34" s="28" t="s">
        <v>179</v>
      </c>
      <c r="N34" s="15" t="s">
        <v>238</v>
      </c>
    </row>
    <row r="35" spans="1:14" x14ac:dyDescent="0.3">
      <c r="A35" s="4" t="s">
        <v>22</v>
      </c>
      <c r="B35" s="15" t="s">
        <v>243</v>
      </c>
      <c r="C35" s="15" t="s">
        <v>16</v>
      </c>
      <c r="D35" s="15" t="s">
        <v>138</v>
      </c>
      <c r="E35" s="15">
        <f t="shared" si="0"/>
        <v>2</v>
      </c>
      <c r="F35" s="15">
        <v>2</v>
      </c>
      <c r="G35" s="16" t="s">
        <v>115</v>
      </c>
      <c r="H35" s="16"/>
      <c r="I35" s="16"/>
      <c r="J35" s="16"/>
      <c r="K35" s="16"/>
      <c r="L35" s="7">
        <v>12000</v>
      </c>
      <c r="M35" s="28" t="s">
        <v>179</v>
      </c>
      <c r="N35" s="15" t="s">
        <v>238</v>
      </c>
    </row>
    <row r="36" spans="1:14" x14ac:dyDescent="0.3">
      <c r="A36" s="4" t="s">
        <v>175</v>
      </c>
      <c r="B36" s="15" t="s">
        <v>110</v>
      </c>
      <c r="C36" s="15" t="s">
        <v>174</v>
      </c>
      <c r="D36" s="15" t="s">
        <v>138</v>
      </c>
      <c r="E36" s="15">
        <f t="shared" si="0"/>
        <v>2</v>
      </c>
      <c r="F36" s="15">
        <v>0</v>
      </c>
      <c r="G36" s="16"/>
      <c r="H36" s="16"/>
      <c r="I36" s="16" t="s">
        <v>115</v>
      </c>
      <c r="J36" s="16"/>
      <c r="K36" s="16"/>
      <c r="L36" s="7">
        <v>5000</v>
      </c>
      <c r="M36" s="28">
        <v>2023</v>
      </c>
      <c r="N36" s="15" t="s">
        <v>238</v>
      </c>
    </row>
    <row r="37" spans="1:14" x14ac:dyDescent="0.3">
      <c r="A37" s="4" t="s">
        <v>95</v>
      </c>
      <c r="B37" s="15" t="s">
        <v>14</v>
      </c>
      <c r="C37" s="15" t="s">
        <v>14</v>
      </c>
      <c r="D37" s="15" t="s">
        <v>138</v>
      </c>
      <c r="E37" s="15">
        <f t="shared" si="0"/>
        <v>2</v>
      </c>
      <c r="F37" s="15">
        <v>2</v>
      </c>
      <c r="G37" s="16" t="s">
        <v>115</v>
      </c>
      <c r="H37" s="16"/>
      <c r="I37" s="16"/>
      <c r="J37" s="16"/>
      <c r="K37" s="16"/>
      <c r="L37" s="7">
        <v>5000</v>
      </c>
      <c r="M37" s="28" t="s">
        <v>179</v>
      </c>
      <c r="N37" s="15" t="s">
        <v>238</v>
      </c>
    </row>
    <row r="38" spans="1:14" x14ac:dyDescent="0.3">
      <c r="A38" s="4" t="s">
        <v>74</v>
      </c>
      <c r="B38" s="15" t="s">
        <v>15</v>
      </c>
      <c r="C38" s="15" t="s">
        <v>15</v>
      </c>
      <c r="D38" s="15" t="s">
        <v>138</v>
      </c>
      <c r="E38" s="15">
        <f t="shared" si="0"/>
        <v>2</v>
      </c>
      <c r="F38" s="15">
        <v>2</v>
      </c>
      <c r="G38" s="16"/>
      <c r="H38" s="16" t="s">
        <v>115</v>
      </c>
      <c r="I38" s="16"/>
      <c r="J38" s="16"/>
      <c r="K38" s="16"/>
      <c r="L38" s="7">
        <v>5000</v>
      </c>
      <c r="M38" s="28" t="s">
        <v>179</v>
      </c>
      <c r="N38" s="15" t="s">
        <v>238</v>
      </c>
    </row>
    <row r="39" spans="1:14" x14ac:dyDescent="0.3">
      <c r="A39" s="4" t="s">
        <v>236</v>
      </c>
      <c r="B39" s="15" t="s">
        <v>243</v>
      </c>
      <c r="C39" s="15" t="s">
        <v>19</v>
      </c>
      <c r="D39" s="15" t="s">
        <v>139</v>
      </c>
      <c r="E39" s="15">
        <f t="shared" si="0"/>
        <v>4</v>
      </c>
      <c r="F39" s="15">
        <v>4</v>
      </c>
      <c r="G39" s="16" t="s">
        <v>115</v>
      </c>
      <c r="H39" s="16"/>
      <c r="I39" s="16"/>
      <c r="J39" s="16"/>
      <c r="K39" s="16" t="s">
        <v>115</v>
      </c>
      <c r="L39" s="7">
        <v>15000</v>
      </c>
      <c r="M39" s="28" t="s">
        <v>179</v>
      </c>
      <c r="N39" s="15" t="s">
        <v>238</v>
      </c>
    </row>
    <row r="40" spans="1:14" x14ac:dyDescent="0.3">
      <c r="A40" s="4" t="s">
        <v>92</v>
      </c>
      <c r="B40" s="15" t="s">
        <v>15</v>
      </c>
      <c r="C40" s="15" t="s">
        <v>15</v>
      </c>
      <c r="D40" s="15" t="s">
        <v>140</v>
      </c>
      <c r="E40" s="15">
        <f t="shared" si="0"/>
        <v>1</v>
      </c>
      <c r="F40" s="15">
        <v>1</v>
      </c>
      <c r="G40" s="16" t="s">
        <v>115</v>
      </c>
      <c r="H40" s="16"/>
      <c r="I40" s="16"/>
      <c r="J40" s="16"/>
      <c r="K40" s="16"/>
      <c r="L40" s="7">
        <v>10000</v>
      </c>
      <c r="M40" s="28">
        <v>2023</v>
      </c>
      <c r="N40" s="15" t="s">
        <v>238</v>
      </c>
    </row>
    <row r="41" spans="1:14" x14ac:dyDescent="0.3">
      <c r="A41" s="4" t="s">
        <v>81</v>
      </c>
      <c r="B41" s="15" t="s">
        <v>243</v>
      </c>
      <c r="C41" s="15" t="s">
        <v>19</v>
      </c>
      <c r="D41" s="15" t="s">
        <v>138</v>
      </c>
      <c r="E41" s="15">
        <f t="shared" si="0"/>
        <v>2</v>
      </c>
      <c r="F41" s="15">
        <v>2</v>
      </c>
      <c r="G41" s="16" t="s">
        <v>115</v>
      </c>
      <c r="H41" s="16"/>
      <c r="I41" s="16"/>
      <c r="J41" s="16"/>
      <c r="K41" s="16"/>
      <c r="L41" s="7">
        <v>15000</v>
      </c>
      <c r="M41" s="28" t="s">
        <v>179</v>
      </c>
      <c r="N41" s="15" t="s">
        <v>238</v>
      </c>
    </row>
    <row r="42" spans="1:14" x14ac:dyDescent="0.3">
      <c r="A42" s="4" t="s">
        <v>152</v>
      </c>
      <c r="B42" s="15" t="s">
        <v>14</v>
      </c>
      <c r="C42" s="15" t="s">
        <v>14</v>
      </c>
      <c r="D42" s="15" t="s">
        <v>139</v>
      </c>
      <c r="E42" s="15">
        <f t="shared" si="0"/>
        <v>4</v>
      </c>
      <c r="F42" s="15">
        <v>4</v>
      </c>
      <c r="G42" s="16" t="s">
        <v>115</v>
      </c>
      <c r="H42" s="16" t="s">
        <v>115</v>
      </c>
      <c r="I42" s="16"/>
      <c r="J42" s="16" t="s">
        <v>115</v>
      </c>
      <c r="K42" s="16"/>
      <c r="L42" s="7">
        <v>6000</v>
      </c>
      <c r="M42" s="28" t="s">
        <v>179</v>
      </c>
      <c r="N42" s="15" t="s">
        <v>238</v>
      </c>
    </row>
    <row r="43" spans="1:14" x14ac:dyDescent="0.3">
      <c r="A43" s="4" t="s">
        <v>99</v>
      </c>
      <c r="B43" s="15" t="s">
        <v>14</v>
      </c>
      <c r="C43" s="15" t="s">
        <v>14</v>
      </c>
      <c r="D43" s="15" t="s">
        <v>140</v>
      </c>
      <c r="E43" s="15">
        <f t="shared" si="0"/>
        <v>1</v>
      </c>
      <c r="F43" s="15">
        <v>1</v>
      </c>
      <c r="G43" s="16" t="s">
        <v>115</v>
      </c>
      <c r="H43" s="16"/>
      <c r="I43" s="16"/>
      <c r="J43" s="16"/>
      <c r="K43" s="16"/>
      <c r="L43" s="7">
        <v>8000</v>
      </c>
      <c r="M43" s="28" t="s">
        <v>179</v>
      </c>
      <c r="N43" s="15" t="s">
        <v>238</v>
      </c>
    </row>
    <row r="44" spans="1:14" x14ac:dyDescent="0.3">
      <c r="A44" s="4" t="s">
        <v>102</v>
      </c>
      <c r="B44" s="15" t="s">
        <v>14</v>
      </c>
      <c r="C44" s="15" t="s">
        <v>14</v>
      </c>
      <c r="D44" s="15" t="s">
        <v>139</v>
      </c>
      <c r="E44" s="15">
        <f t="shared" si="0"/>
        <v>4</v>
      </c>
      <c r="F44" s="15">
        <v>4</v>
      </c>
      <c r="G44" s="16" t="s">
        <v>115</v>
      </c>
      <c r="H44" s="16" t="s">
        <v>115</v>
      </c>
      <c r="I44" s="16"/>
      <c r="J44" s="16"/>
      <c r="K44" s="16" t="s">
        <v>115</v>
      </c>
      <c r="L44" s="7">
        <v>8000</v>
      </c>
      <c r="M44" s="28" t="s">
        <v>179</v>
      </c>
      <c r="N44" s="15" t="s">
        <v>238</v>
      </c>
    </row>
    <row r="45" spans="1:14" x14ac:dyDescent="0.3">
      <c r="A45" s="4" t="s">
        <v>177</v>
      </c>
      <c r="B45" s="15" t="s">
        <v>110</v>
      </c>
      <c r="C45" s="15" t="s">
        <v>36</v>
      </c>
      <c r="D45" s="15" t="s">
        <v>138</v>
      </c>
      <c r="E45" s="15">
        <f t="shared" si="0"/>
        <v>2</v>
      </c>
      <c r="F45" s="15">
        <v>2</v>
      </c>
      <c r="G45" s="16"/>
      <c r="H45" s="16"/>
      <c r="I45" s="16" t="s">
        <v>115</v>
      </c>
      <c r="J45" s="16"/>
      <c r="K45" s="16"/>
      <c r="L45" s="7">
        <v>10000</v>
      </c>
      <c r="M45" s="28" t="s">
        <v>179</v>
      </c>
      <c r="N45" s="15" t="s">
        <v>238</v>
      </c>
    </row>
    <row r="46" spans="1:14" x14ac:dyDescent="0.3">
      <c r="A46" s="4" t="s">
        <v>80</v>
      </c>
      <c r="B46" s="15" t="s">
        <v>243</v>
      </c>
      <c r="C46" s="15" t="s">
        <v>19</v>
      </c>
      <c r="D46" s="15" t="s">
        <v>138</v>
      </c>
      <c r="E46" s="15">
        <f t="shared" si="0"/>
        <v>2</v>
      </c>
      <c r="F46" s="15">
        <v>2</v>
      </c>
      <c r="G46" s="16" t="s">
        <v>115</v>
      </c>
      <c r="H46" s="16"/>
      <c r="I46" s="16"/>
      <c r="J46" s="16"/>
      <c r="K46" s="16" t="s">
        <v>115</v>
      </c>
      <c r="L46" s="7">
        <v>10000</v>
      </c>
      <c r="M46" s="28" t="s">
        <v>179</v>
      </c>
      <c r="N46" s="15" t="s">
        <v>238</v>
      </c>
    </row>
    <row r="47" spans="1:14" x14ac:dyDescent="0.3">
      <c r="A47" s="4" t="s">
        <v>232</v>
      </c>
      <c r="B47" s="15" t="s">
        <v>243</v>
      </c>
      <c r="C47" s="15" t="s">
        <v>19</v>
      </c>
      <c r="D47" s="15" t="s">
        <v>138</v>
      </c>
      <c r="E47" s="15">
        <f t="shared" si="0"/>
        <v>2</v>
      </c>
      <c r="F47" s="15">
        <v>2</v>
      </c>
      <c r="G47" s="16" t="s">
        <v>115</v>
      </c>
      <c r="H47" s="16"/>
      <c r="I47" s="16"/>
      <c r="J47" s="16"/>
      <c r="K47" s="16"/>
      <c r="L47" s="7">
        <v>7000</v>
      </c>
      <c r="M47" s="28" t="s">
        <v>179</v>
      </c>
      <c r="N47" s="15" t="s">
        <v>238</v>
      </c>
    </row>
    <row r="48" spans="1:14" x14ac:dyDescent="0.3">
      <c r="A48" s="4" t="s">
        <v>94</v>
      </c>
      <c r="B48" s="15" t="s">
        <v>243</v>
      </c>
      <c r="C48" s="15" t="s">
        <v>16</v>
      </c>
      <c r="D48" s="15" t="s">
        <v>139</v>
      </c>
      <c r="E48" s="15">
        <f t="shared" si="0"/>
        <v>4</v>
      </c>
      <c r="F48" s="15">
        <v>4</v>
      </c>
      <c r="G48" s="16"/>
      <c r="H48" s="16"/>
      <c r="I48" s="16"/>
      <c r="J48" s="16"/>
      <c r="K48" s="16" t="s">
        <v>115</v>
      </c>
      <c r="L48" s="7">
        <v>12000</v>
      </c>
      <c r="M48" s="28" t="s">
        <v>179</v>
      </c>
      <c r="N48" s="15" t="s">
        <v>238</v>
      </c>
    </row>
    <row r="49" spans="1:14" x14ac:dyDescent="0.3">
      <c r="A49" s="4" t="s">
        <v>121</v>
      </c>
      <c r="B49" s="15" t="s">
        <v>243</v>
      </c>
      <c r="C49" s="15" t="s">
        <v>97</v>
      </c>
      <c r="D49" s="15" t="s">
        <v>140</v>
      </c>
      <c r="E49" s="15">
        <f t="shared" si="0"/>
        <v>1</v>
      </c>
      <c r="F49" s="15">
        <v>1</v>
      </c>
      <c r="G49" s="16" t="s">
        <v>115</v>
      </c>
      <c r="H49" s="16"/>
      <c r="I49" s="16"/>
      <c r="J49" s="16"/>
      <c r="K49" s="16"/>
      <c r="L49" s="7">
        <v>5000</v>
      </c>
      <c r="M49" s="28" t="s">
        <v>179</v>
      </c>
      <c r="N49" s="15" t="s">
        <v>238</v>
      </c>
    </row>
    <row r="50" spans="1:14" ht="28.8" x14ac:dyDescent="0.3">
      <c r="A50" s="4" t="s">
        <v>101</v>
      </c>
      <c r="B50" s="15" t="s">
        <v>14</v>
      </c>
      <c r="C50" s="15" t="s">
        <v>14</v>
      </c>
      <c r="D50" s="15" t="s">
        <v>140</v>
      </c>
      <c r="E50" s="15">
        <f t="shared" si="0"/>
        <v>1</v>
      </c>
      <c r="F50" s="15">
        <v>1</v>
      </c>
      <c r="G50" s="16" t="s">
        <v>115</v>
      </c>
      <c r="H50" s="16"/>
      <c r="I50" s="16"/>
      <c r="J50" s="16"/>
      <c r="K50" s="16"/>
      <c r="L50" s="7">
        <v>4000</v>
      </c>
      <c r="M50" s="28" t="s">
        <v>179</v>
      </c>
      <c r="N50" s="15" t="s">
        <v>238</v>
      </c>
    </row>
    <row r="51" spans="1:14" x14ac:dyDescent="0.3">
      <c r="A51" s="4" t="s">
        <v>96</v>
      </c>
      <c r="B51" s="15" t="s">
        <v>243</v>
      </c>
      <c r="C51" s="15" t="s">
        <v>97</v>
      </c>
      <c r="D51" s="15" t="s">
        <v>139</v>
      </c>
      <c r="E51" s="15">
        <f t="shared" si="0"/>
        <v>4</v>
      </c>
      <c r="F51" s="15">
        <v>4</v>
      </c>
      <c r="G51" s="16" t="s">
        <v>115</v>
      </c>
      <c r="H51" s="16"/>
      <c r="I51" s="16"/>
      <c r="J51" s="16"/>
      <c r="K51" s="16"/>
      <c r="L51" s="7">
        <v>16000</v>
      </c>
      <c r="M51" s="28" t="s">
        <v>179</v>
      </c>
      <c r="N51" s="15" t="s">
        <v>238</v>
      </c>
    </row>
    <row r="52" spans="1:14" x14ac:dyDescent="0.3">
      <c r="A52" s="4" t="s">
        <v>122</v>
      </c>
      <c r="B52" s="15" t="s">
        <v>33</v>
      </c>
      <c r="C52" s="15" t="s">
        <v>33</v>
      </c>
      <c r="D52" s="15" t="s">
        <v>138</v>
      </c>
      <c r="E52" s="15">
        <f t="shared" si="0"/>
        <v>2</v>
      </c>
      <c r="F52" s="15">
        <v>2</v>
      </c>
      <c r="G52" s="16" t="s">
        <v>115</v>
      </c>
      <c r="H52" s="16"/>
      <c r="I52" s="16" t="s">
        <v>115</v>
      </c>
      <c r="J52" s="16"/>
      <c r="K52" s="16"/>
      <c r="L52" s="7">
        <v>10000</v>
      </c>
      <c r="M52" s="28" t="s">
        <v>179</v>
      </c>
      <c r="N52" s="15" t="s">
        <v>238</v>
      </c>
    </row>
    <row r="53" spans="1:14" x14ac:dyDescent="0.3">
      <c r="A53" s="4" t="s">
        <v>228</v>
      </c>
      <c r="B53" s="15" t="s">
        <v>243</v>
      </c>
      <c r="C53" s="15" t="s">
        <v>97</v>
      </c>
      <c r="D53" s="15" t="s">
        <v>138</v>
      </c>
      <c r="E53" s="15">
        <f t="shared" si="0"/>
        <v>2</v>
      </c>
      <c r="F53" s="15">
        <v>2</v>
      </c>
      <c r="G53" s="16" t="s">
        <v>115</v>
      </c>
      <c r="H53" s="16" t="s">
        <v>115</v>
      </c>
      <c r="I53" s="16" t="s">
        <v>115</v>
      </c>
      <c r="J53" s="16" t="s">
        <v>115</v>
      </c>
      <c r="K53" s="16"/>
      <c r="L53" s="7">
        <v>5000</v>
      </c>
      <c r="M53" s="28">
        <v>2023</v>
      </c>
      <c r="N53" s="15" t="s">
        <v>238</v>
      </c>
    </row>
    <row r="54" spans="1:14" x14ac:dyDescent="0.3">
      <c r="A54" s="4" t="s">
        <v>189</v>
      </c>
      <c r="B54" s="15" t="s">
        <v>33</v>
      </c>
      <c r="C54" s="15" t="s">
        <v>33</v>
      </c>
      <c r="D54" s="15" t="s">
        <v>138</v>
      </c>
      <c r="E54" s="15">
        <f>IF(D54="S",1,IF(D54="M",2,IF(D54="L",4,0)))</f>
        <v>2</v>
      </c>
      <c r="F54" s="15">
        <v>2</v>
      </c>
      <c r="G54" s="16"/>
      <c r="H54" s="16"/>
      <c r="I54" s="16"/>
      <c r="J54" s="16" t="s">
        <v>115</v>
      </c>
      <c r="K54" s="16"/>
      <c r="L54" s="7">
        <f>2500*4</f>
        <v>10000</v>
      </c>
      <c r="M54" s="28" t="s">
        <v>179</v>
      </c>
      <c r="N54" s="15" t="s">
        <v>239</v>
      </c>
    </row>
    <row r="55" spans="1:14" x14ac:dyDescent="0.3">
      <c r="A55" s="4" t="s">
        <v>194</v>
      </c>
      <c r="B55" s="15" t="s">
        <v>110</v>
      </c>
      <c r="C55" s="15" t="s">
        <v>174</v>
      </c>
      <c r="D55" s="15" t="s">
        <v>138</v>
      </c>
      <c r="E55" s="15">
        <f t="shared" si="0"/>
        <v>2</v>
      </c>
      <c r="F55" s="15">
        <v>2</v>
      </c>
      <c r="G55" s="16"/>
      <c r="H55" s="16"/>
      <c r="I55" s="16"/>
      <c r="J55" s="16"/>
      <c r="K55" s="16"/>
      <c r="L55" s="7">
        <v>9000</v>
      </c>
      <c r="M55" s="15">
        <v>2022</v>
      </c>
      <c r="N55" s="15" t="s">
        <v>238</v>
      </c>
    </row>
    <row r="56" spans="1:14" ht="28.8" x14ac:dyDescent="0.3">
      <c r="A56" s="4" t="s">
        <v>195</v>
      </c>
      <c r="B56" s="15" t="s">
        <v>110</v>
      </c>
      <c r="C56" s="15" t="s">
        <v>13</v>
      </c>
      <c r="D56" s="15" t="s">
        <v>138</v>
      </c>
      <c r="E56" s="15">
        <f t="shared" si="0"/>
        <v>2</v>
      </c>
      <c r="F56" s="15">
        <v>2</v>
      </c>
      <c r="G56" s="16"/>
      <c r="H56" s="16"/>
      <c r="I56" s="16"/>
      <c r="J56" s="16"/>
      <c r="K56" s="16"/>
      <c r="L56" s="7">
        <v>3200</v>
      </c>
      <c r="M56" s="15">
        <v>2022</v>
      </c>
      <c r="N56" s="15" t="s">
        <v>238</v>
      </c>
    </row>
    <row r="57" spans="1:14" x14ac:dyDescent="0.3">
      <c r="A57" s="4" t="s">
        <v>196</v>
      </c>
      <c r="B57" s="15" t="s">
        <v>33</v>
      </c>
      <c r="C57" s="15" t="s">
        <v>33</v>
      </c>
      <c r="D57" s="15" t="s">
        <v>139</v>
      </c>
      <c r="E57" s="15">
        <f t="shared" si="0"/>
        <v>4</v>
      </c>
      <c r="F57" s="15">
        <v>4</v>
      </c>
      <c r="G57" s="16"/>
      <c r="H57" s="16"/>
      <c r="I57" s="16"/>
      <c r="J57" s="16"/>
      <c r="K57" s="16"/>
      <c r="L57" s="7">
        <f>5000*4</f>
        <v>20000</v>
      </c>
      <c r="M57" s="15">
        <v>2022</v>
      </c>
      <c r="N57" s="15" t="s">
        <v>238</v>
      </c>
    </row>
    <row r="58" spans="1:14" x14ac:dyDescent="0.3">
      <c r="A58" s="4" t="s">
        <v>209</v>
      </c>
      <c r="B58" s="15" t="s">
        <v>21</v>
      </c>
      <c r="C58" s="15" t="s">
        <v>21</v>
      </c>
      <c r="D58" s="15" t="s">
        <v>138</v>
      </c>
      <c r="E58" s="15">
        <f t="shared" si="0"/>
        <v>2</v>
      </c>
      <c r="F58" s="15">
        <v>1</v>
      </c>
      <c r="G58" s="16"/>
      <c r="H58" s="16"/>
      <c r="I58" s="16"/>
      <c r="J58" s="16"/>
      <c r="K58" s="16"/>
      <c r="L58" s="7">
        <v>10240</v>
      </c>
      <c r="M58" s="15">
        <v>2022</v>
      </c>
      <c r="N58" s="15" t="s">
        <v>238</v>
      </c>
    </row>
    <row r="59" spans="1:14" ht="28.8" x14ac:dyDescent="0.3">
      <c r="A59" s="4" t="s">
        <v>197</v>
      </c>
      <c r="B59" s="15" t="s">
        <v>15</v>
      </c>
      <c r="C59" s="15" t="s">
        <v>15</v>
      </c>
      <c r="D59" s="15" t="s">
        <v>140</v>
      </c>
      <c r="E59" s="15">
        <f t="shared" si="0"/>
        <v>1</v>
      </c>
      <c r="F59" s="15">
        <v>1</v>
      </c>
      <c r="G59" s="16"/>
      <c r="H59" s="16"/>
      <c r="I59" s="16"/>
      <c r="J59" s="16"/>
      <c r="K59" s="16"/>
      <c r="L59" s="7">
        <v>480</v>
      </c>
      <c r="M59" s="15">
        <v>2022</v>
      </c>
      <c r="N59" s="15" t="s">
        <v>238</v>
      </c>
    </row>
    <row r="60" spans="1:14" x14ac:dyDescent="0.3">
      <c r="A60" s="4" t="s">
        <v>198</v>
      </c>
      <c r="B60" s="15" t="s">
        <v>14</v>
      </c>
      <c r="C60" s="15" t="s">
        <v>14</v>
      </c>
      <c r="D60" s="15" t="s">
        <v>138</v>
      </c>
      <c r="E60" s="15">
        <f t="shared" si="0"/>
        <v>2</v>
      </c>
      <c r="F60" s="15">
        <v>2</v>
      </c>
      <c r="G60" s="16"/>
      <c r="H60" s="16"/>
      <c r="I60" s="16"/>
      <c r="J60" s="16"/>
      <c r="K60" s="16"/>
      <c r="L60" s="7">
        <v>4750</v>
      </c>
      <c r="M60" s="15">
        <v>2022</v>
      </c>
      <c r="N60" s="15" t="s">
        <v>238</v>
      </c>
    </row>
    <row r="61" spans="1:14" x14ac:dyDescent="0.3">
      <c r="A61" s="4" t="s">
        <v>199</v>
      </c>
      <c r="B61" s="15" t="s">
        <v>21</v>
      </c>
      <c r="C61" s="15" t="s">
        <v>21</v>
      </c>
      <c r="D61" s="15" t="s">
        <v>139</v>
      </c>
      <c r="E61" s="15">
        <f t="shared" si="0"/>
        <v>4</v>
      </c>
      <c r="F61" s="15">
        <v>4</v>
      </c>
      <c r="G61" s="16"/>
      <c r="H61" s="16"/>
      <c r="I61" s="16"/>
      <c r="J61" s="16"/>
      <c r="K61" s="16"/>
      <c r="L61" s="7">
        <v>22500</v>
      </c>
      <c r="M61" s="15">
        <v>2022</v>
      </c>
      <c r="N61" s="15" t="s">
        <v>239</v>
      </c>
    </row>
    <row r="62" spans="1:14" x14ac:dyDescent="0.3">
      <c r="A62" s="4" t="s">
        <v>200</v>
      </c>
      <c r="B62" s="15" t="s">
        <v>243</v>
      </c>
      <c r="C62" s="15" t="s">
        <v>16</v>
      </c>
      <c r="D62" s="15" t="s">
        <v>139</v>
      </c>
      <c r="E62" s="15">
        <f t="shared" si="0"/>
        <v>4</v>
      </c>
      <c r="F62" s="15">
        <v>4</v>
      </c>
      <c r="G62" s="16"/>
      <c r="H62" s="16"/>
      <c r="I62" s="16"/>
      <c r="J62" s="16"/>
      <c r="K62" s="16"/>
      <c r="L62" s="27">
        <v>22000</v>
      </c>
      <c r="M62" s="15">
        <v>2022</v>
      </c>
      <c r="N62" s="15" t="s">
        <v>239</v>
      </c>
    </row>
    <row r="63" spans="1:14" x14ac:dyDescent="0.3">
      <c r="A63" s="4" t="s">
        <v>201</v>
      </c>
      <c r="B63" s="15" t="s">
        <v>110</v>
      </c>
      <c r="C63" s="15" t="s">
        <v>13</v>
      </c>
      <c r="D63" s="15" t="s">
        <v>139</v>
      </c>
      <c r="E63" s="15">
        <f t="shared" si="0"/>
        <v>4</v>
      </c>
      <c r="F63" s="15">
        <v>4</v>
      </c>
      <c r="G63" s="16"/>
      <c r="H63" s="16"/>
      <c r="I63" s="16"/>
      <c r="J63" s="16"/>
      <c r="K63" s="16"/>
      <c r="L63" s="7">
        <f>8523*4</f>
        <v>34092</v>
      </c>
      <c r="M63" s="15">
        <v>2022</v>
      </c>
      <c r="N63" s="15" t="s">
        <v>239</v>
      </c>
    </row>
    <row r="64" spans="1:14" x14ac:dyDescent="0.3">
      <c r="A64" s="4" t="s">
        <v>202</v>
      </c>
      <c r="B64" s="15" t="s">
        <v>15</v>
      </c>
      <c r="C64" s="15" t="s">
        <v>15</v>
      </c>
      <c r="D64" s="15" t="s">
        <v>139</v>
      </c>
      <c r="E64" s="15">
        <f t="shared" si="0"/>
        <v>4</v>
      </c>
      <c r="F64" s="15">
        <v>4</v>
      </c>
      <c r="G64" s="16"/>
      <c r="H64" s="16"/>
      <c r="I64" s="16"/>
      <c r="J64" s="16"/>
      <c r="K64" s="16"/>
      <c r="L64" s="7">
        <v>14980</v>
      </c>
      <c r="M64" s="15">
        <v>2022</v>
      </c>
      <c r="N64" s="15" t="s">
        <v>239</v>
      </c>
    </row>
    <row r="65" spans="1:14" ht="28.8" x14ac:dyDescent="0.3">
      <c r="A65" s="4" t="s">
        <v>203</v>
      </c>
      <c r="B65" s="15" t="s">
        <v>243</v>
      </c>
      <c r="C65" s="15" t="s">
        <v>16</v>
      </c>
      <c r="D65" s="15" t="s">
        <v>140</v>
      </c>
      <c r="E65" s="15">
        <f t="shared" si="0"/>
        <v>1</v>
      </c>
      <c r="F65" s="15">
        <v>0</v>
      </c>
      <c r="G65" s="16"/>
      <c r="H65" s="16"/>
      <c r="I65" s="16"/>
      <c r="J65" s="16"/>
      <c r="K65" s="16"/>
      <c r="L65" s="7">
        <v>1920</v>
      </c>
      <c r="M65" s="15">
        <v>2022</v>
      </c>
      <c r="N65" s="15" t="s">
        <v>239</v>
      </c>
    </row>
    <row r="66" spans="1:14" ht="28.8" x14ac:dyDescent="0.3">
      <c r="A66" s="4" t="s">
        <v>204</v>
      </c>
      <c r="B66" s="15" t="s">
        <v>110</v>
      </c>
      <c r="C66" s="15" t="s">
        <v>13</v>
      </c>
      <c r="D66" s="15" t="s">
        <v>138</v>
      </c>
      <c r="E66" s="15">
        <f t="shared" si="0"/>
        <v>2</v>
      </c>
      <c r="F66" s="15">
        <v>2</v>
      </c>
      <c r="G66" s="16"/>
      <c r="H66" s="16"/>
      <c r="I66" s="16"/>
      <c r="J66" s="16"/>
      <c r="K66" s="16"/>
      <c r="L66" s="7">
        <v>15040</v>
      </c>
      <c r="M66" s="15">
        <v>2022</v>
      </c>
      <c r="N66" s="15" t="s">
        <v>239</v>
      </c>
    </row>
    <row r="67" spans="1:14" x14ac:dyDescent="0.3">
      <c r="A67" s="4" t="s">
        <v>205</v>
      </c>
      <c r="B67" s="15" t="s">
        <v>15</v>
      </c>
      <c r="C67" s="15" t="s">
        <v>15</v>
      </c>
      <c r="D67" s="15" t="s">
        <v>140</v>
      </c>
      <c r="E67" s="15">
        <f t="shared" si="0"/>
        <v>1</v>
      </c>
      <c r="F67" s="15">
        <v>0</v>
      </c>
      <c r="G67" s="16"/>
      <c r="H67" s="16"/>
      <c r="I67" s="16"/>
      <c r="J67" s="16"/>
      <c r="K67" s="16"/>
      <c r="L67" s="7">
        <v>1920</v>
      </c>
      <c r="M67" s="15">
        <v>2022</v>
      </c>
      <c r="N67" s="15" t="s">
        <v>238</v>
      </c>
    </row>
    <row r="68" spans="1:14" x14ac:dyDescent="0.3">
      <c r="A68" s="4" t="s">
        <v>207</v>
      </c>
      <c r="B68" s="15" t="s">
        <v>15</v>
      </c>
      <c r="C68" s="15" t="s">
        <v>15</v>
      </c>
      <c r="D68" s="15" t="s">
        <v>140</v>
      </c>
      <c r="E68" s="15">
        <f t="shared" si="0"/>
        <v>1</v>
      </c>
      <c r="F68" s="15">
        <v>1</v>
      </c>
      <c r="G68" s="16"/>
      <c r="H68" s="16"/>
      <c r="I68" s="16"/>
      <c r="J68" s="16"/>
      <c r="K68" s="16"/>
      <c r="L68" s="7">
        <v>0</v>
      </c>
      <c r="M68" s="15">
        <v>2022</v>
      </c>
      <c r="N68" s="15" t="s">
        <v>238</v>
      </c>
    </row>
    <row r="69" spans="1:14" x14ac:dyDescent="0.3">
      <c r="A69" s="4" t="s">
        <v>206</v>
      </c>
      <c r="B69" s="15" t="s">
        <v>110</v>
      </c>
      <c r="C69" s="15" t="s">
        <v>13</v>
      </c>
      <c r="D69" s="15" t="s">
        <v>138</v>
      </c>
      <c r="E69" s="15">
        <f t="shared" si="0"/>
        <v>2</v>
      </c>
      <c r="F69" s="15">
        <v>2</v>
      </c>
      <c r="G69" s="16"/>
      <c r="H69" s="16"/>
      <c r="I69" s="16"/>
      <c r="J69" s="16"/>
      <c r="K69" s="16"/>
      <c r="L69" s="7">
        <v>3840</v>
      </c>
      <c r="M69" s="15">
        <v>2022</v>
      </c>
      <c r="N69" s="15" t="s">
        <v>238</v>
      </c>
    </row>
    <row r="70" spans="1:14" ht="28.8" x14ac:dyDescent="0.3">
      <c r="A70" s="4" t="s">
        <v>210</v>
      </c>
      <c r="B70" s="15" t="s">
        <v>21</v>
      </c>
      <c r="C70" s="15" t="s">
        <v>21</v>
      </c>
      <c r="D70" s="15" t="s">
        <v>140</v>
      </c>
      <c r="E70" s="15">
        <f t="shared" si="0"/>
        <v>1</v>
      </c>
      <c r="F70" s="15">
        <v>1</v>
      </c>
      <c r="G70" s="16"/>
      <c r="H70" s="16"/>
      <c r="I70" s="16"/>
      <c r="J70" s="16"/>
      <c r="K70" s="16"/>
      <c r="L70" s="7">
        <v>3040</v>
      </c>
      <c r="M70" s="15">
        <v>2022</v>
      </c>
      <c r="N70" s="15" t="s">
        <v>238</v>
      </c>
    </row>
    <row r="71" spans="1:14" ht="28.8" x14ac:dyDescent="0.3">
      <c r="A71" s="4" t="s">
        <v>208</v>
      </c>
      <c r="B71" s="15" t="s">
        <v>21</v>
      </c>
      <c r="C71" s="15" t="s">
        <v>21</v>
      </c>
      <c r="D71" s="15" t="s">
        <v>138</v>
      </c>
      <c r="E71" s="15">
        <f t="shared" si="0"/>
        <v>2</v>
      </c>
      <c r="F71" s="15">
        <v>2</v>
      </c>
      <c r="G71" s="16"/>
      <c r="H71" s="16"/>
      <c r="I71" s="16"/>
      <c r="J71" s="16"/>
      <c r="K71" s="16"/>
      <c r="L71" s="7">
        <v>8040</v>
      </c>
      <c r="M71" s="15">
        <v>2022</v>
      </c>
      <c r="N71" s="15" t="s">
        <v>238</v>
      </c>
    </row>
    <row r="72" spans="1:14" x14ac:dyDescent="0.3">
      <c r="A72" s="4" t="s">
        <v>211</v>
      </c>
      <c r="B72" s="15" t="s">
        <v>15</v>
      </c>
      <c r="C72" s="15" t="s">
        <v>15</v>
      </c>
      <c r="D72" s="15" t="s">
        <v>140</v>
      </c>
      <c r="E72" s="15">
        <f t="shared" si="0"/>
        <v>1</v>
      </c>
      <c r="F72" s="15">
        <v>1</v>
      </c>
      <c r="G72" s="16"/>
      <c r="H72" s="16"/>
      <c r="I72" s="16"/>
      <c r="J72" s="16"/>
      <c r="K72" s="16"/>
      <c r="L72" s="7">
        <v>960</v>
      </c>
      <c r="M72" s="15">
        <v>2022</v>
      </c>
      <c r="N72" s="15" t="s">
        <v>238</v>
      </c>
    </row>
    <row r="73" spans="1:14" x14ac:dyDescent="0.3">
      <c r="A73" s="4" t="s">
        <v>212</v>
      </c>
      <c r="B73" s="15" t="s">
        <v>243</v>
      </c>
      <c r="C73" s="15" t="s">
        <v>97</v>
      </c>
      <c r="D73" s="15" t="s">
        <v>140</v>
      </c>
      <c r="E73" s="15">
        <f t="shared" si="0"/>
        <v>1</v>
      </c>
      <c r="F73" s="15">
        <v>1</v>
      </c>
      <c r="G73" s="16"/>
      <c r="H73" s="16"/>
      <c r="I73" s="16"/>
      <c r="J73" s="16"/>
      <c r="K73" s="16"/>
      <c r="L73" s="7">
        <v>2420</v>
      </c>
      <c r="M73" s="15">
        <v>2022</v>
      </c>
      <c r="N73" s="15" t="s">
        <v>238</v>
      </c>
    </row>
    <row r="74" spans="1:14" x14ac:dyDescent="0.3">
      <c r="A74" s="4" t="s">
        <v>213</v>
      </c>
      <c r="B74" s="15" t="s">
        <v>243</v>
      </c>
      <c r="C74" s="15" t="s">
        <v>19</v>
      </c>
      <c r="D74" s="15" t="s">
        <v>140</v>
      </c>
      <c r="E74" s="15">
        <f t="shared" si="0"/>
        <v>1</v>
      </c>
      <c r="F74" s="15">
        <v>0</v>
      </c>
      <c r="G74" s="16"/>
      <c r="H74" s="16"/>
      <c r="I74" s="16"/>
      <c r="J74" s="16"/>
      <c r="K74" s="16"/>
      <c r="L74" s="7">
        <f>2320+960</f>
        <v>3280</v>
      </c>
      <c r="M74" s="15">
        <v>2022</v>
      </c>
      <c r="N74" s="15" t="s">
        <v>238</v>
      </c>
    </row>
    <row r="75" spans="1:14" x14ac:dyDescent="0.3">
      <c r="A75" s="4" t="s">
        <v>214</v>
      </c>
      <c r="B75" s="15" t="s">
        <v>243</v>
      </c>
      <c r="C75" s="15" t="s">
        <v>19</v>
      </c>
      <c r="D75" s="15" t="s">
        <v>140</v>
      </c>
      <c r="E75" s="15">
        <f t="shared" si="0"/>
        <v>1</v>
      </c>
      <c r="F75" s="15">
        <v>1</v>
      </c>
      <c r="G75" s="16"/>
      <c r="H75" s="16"/>
      <c r="I75" s="16"/>
      <c r="J75" s="16"/>
      <c r="K75" s="16"/>
      <c r="L75" s="7">
        <v>10000</v>
      </c>
      <c r="M75" s="15">
        <v>2022</v>
      </c>
      <c r="N75" s="15" t="s">
        <v>238</v>
      </c>
    </row>
    <row r="76" spans="1:14" x14ac:dyDescent="0.3">
      <c r="A76" s="4" t="s">
        <v>240</v>
      </c>
      <c r="B76" s="15" t="s">
        <v>21</v>
      </c>
      <c r="C76" s="15" t="s">
        <v>21</v>
      </c>
      <c r="D76" s="15" t="s">
        <v>138</v>
      </c>
      <c r="E76" s="15">
        <f t="shared" si="0"/>
        <v>2</v>
      </c>
      <c r="F76" s="15">
        <v>2</v>
      </c>
      <c r="G76" s="16"/>
      <c r="H76" s="16"/>
      <c r="I76" s="16"/>
      <c r="J76" s="16"/>
      <c r="K76" s="16"/>
      <c r="L76" s="7">
        <v>8000</v>
      </c>
      <c r="M76" s="15">
        <v>2022</v>
      </c>
      <c r="N76" s="15" t="s">
        <v>238</v>
      </c>
    </row>
    <row r="77" spans="1:14" x14ac:dyDescent="0.3">
      <c r="A77" s="4" t="s">
        <v>241</v>
      </c>
      <c r="B77" s="15" t="s">
        <v>243</v>
      </c>
      <c r="C77" s="15" t="s">
        <v>16</v>
      </c>
      <c r="D77" s="15" t="s">
        <v>138</v>
      </c>
      <c r="E77" s="15">
        <f t="shared" si="0"/>
        <v>2</v>
      </c>
      <c r="F77" s="15">
        <v>1</v>
      </c>
      <c r="G77" s="16"/>
      <c r="H77" s="16"/>
      <c r="I77" s="16"/>
      <c r="J77" s="16"/>
      <c r="K77" s="16"/>
      <c r="L77" s="7">
        <v>12000</v>
      </c>
      <c r="M77" s="15">
        <v>2022</v>
      </c>
      <c r="N77" s="15" t="s">
        <v>238</v>
      </c>
    </row>
    <row r="78" spans="1:14" x14ac:dyDescent="0.3">
      <c r="A78" s="4" t="s">
        <v>245</v>
      </c>
      <c r="B78" s="15" t="s">
        <v>110</v>
      </c>
      <c r="C78" s="15" t="s">
        <v>13</v>
      </c>
      <c r="D78" s="15" t="s">
        <v>138</v>
      </c>
      <c r="E78" s="15">
        <f t="shared" si="0"/>
        <v>2</v>
      </c>
      <c r="F78" s="15">
        <v>1</v>
      </c>
      <c r="G78" s="16"/>
      <c r="H78" s="16"/>
      <c r="I78" s="16"/>
      <c r="J78" s="16"/>
      <c r="K78" s="16"/>
      <c r="L78" s="7">
        <f>2800*4</f>
        <v>11200</v>
      </c>
      <c r="M78" s="15">
        <v>2022</v>
      </c>
      <c r="N78" s="15" t="s">
        <v>238</v>
      </c>
    </row>
    <row r="79" spans="1:14" x14ac:dyDescent="0.3">
      <c r="A79" s="4" t="s">
        <v>219</v>
      </c>
      <c r="B79" s="15" t="s">
        <v>15</v>
      </c>
      <c r="C79" s="15" t="s">
        <v>15</v>
      </c>
      <c r="D79" s="15" t="s">
        <v>138</v>
      </c>
      <c r="E79" s="15">
        <f t="shared" si="0"/>
        <v>2</v>
      </c>
      <c r="F79" s="15">
        <v>2</v>
      </c>
      <c r="G79" s="16"/>
      <c r="H79" s="16"/>
      <c r="I79" s="16"/>
      <c r="J79" s="16"/>
      <c r="K79" s="16"/>
      <c r="L79" s="7">
        <v>6000</v>
      </c>
      <c r="M79" s="15">
        <v>2022</v>
      </c>
      <c r="N79" s="15" t="s">
        <v>238</v>
      </c>
    </row>
    <row r="80" spans="1:14" x14ac:dyDescent="0.3">
      <c r="A80" s="4" t="s">
        <v>220</v>
      </c>
      <c r="B80" s="15" t="s">
        <v>243</v>
      </c>
      <c r="C80" s="15" t="s">
        <v>97</v>
      </c>
      <c r="D80" s="15" t="s">
        <v>140</v>
      </c>
      <c r="E80" s="15">
        <f t="shared" si="0"/>
        <v>1</v>
      </c>
      <c r="F80" s="15">
        <v>0</v>
      </c>
      <c r="G80" s="16"/>
      <c r="H80" s="16"/>
      <c r="I80" s="16"/>
      <c r="J80" s="16"/>
      <c r="K80" s="16"/>
      <c r="L80" s="7">
        <v>5000</v>
      </c>
      <c r="M80" s="15">
        <v>2022</v>
      </c>
      <c r="N80" s="15" t="s">
        <v>238</v>
      </c>
    </row>
    <row r="81" spans="1:14" x14ac:dyDescent="0.3">
      <c r="A81" s="4" t="s">
        <v>221</v>
      </c>
      <c r="B81" s="15" t="s">
        <v>15</v>
      </c>
      <c r="C81" s="15" t="s">
        <v>15</v>
      </c>
      <c r="D81" s="15" t="s">
        <v>140</v>
      </c>
      <c r="E81" s="15">
        <f t="shared" si="0"/>
        <v>1</v>
      </c>
      <c r="F81" s="15">
        <v>0</v>
      </c>
      <c r="G81" s="16"/>
      <c r="H81" s="16"/>
      <c r="I81" s="16"/>
      <c r="J81" s="16"/>
      <c r="K81" s="16"/>
      <c r="L81" s="7">
        <v>3000</v>
      </c>
      <c r="M81" s="15">
        <v>2022</v>
      </c>
      <c r="N81" s="15" t="s">
        <v>238</v>
      </c>
    </row>
    <row r="82" spans="1:14" x14ac:dyDescent="0.3">
      <c r="A82" s="4" t="s">
        <v>242</v>
      </c>
      <c r="B82" s="15" t="s">
        <v>33</v>
      </c>
      <c r="C82" s="15" t="s">
        <v>33</v>
      </c>
      <c r="D82" s="15" t="s">
        <v>138</v>
      </c>
      <c r="E82" s="15">
        <f t="shared" si="0"/>
        <v>2</v>
      </c>
      <c r="F82" s="15">
        <v>2</v>
      </c>
      <c r="G82" s="16"/>
      <c r="H82" s="16"/>
      <c r="I82" s="16"/>
      <c r="J82" s="16"/>
      <c r="K82" s="16"/>
      <c r="L82" s="7">
        <v>7100</v>
      </c>
      <c r="M82" s="15">
        <v>2022</v>
      </c>
      <c r="N82" s="15" t="s">
        <v>238</v>
      </c>
    </row>
  </sheetData>
  <autoFilter ref="A1:AJ82" xr:uid="{68B8BFC1-31E6-4E2E-AC40-227EE8C7BEFB}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E49D-7EFD-421A-82D8-0F5D0A4DD427}">
  <dimension ref="B4:J33"/>
  <sheetViews>
    <sheetView showGridLines="0" workbookViewId="0">
      <selection activeCell="H6" sqref="H6"/>
    </sheetView>
  </sheetViews>
  <sheetFormatPr baseColWidth="10" defaultRowHeight="14.4" x14ac:dyDescent="0.3"/>
  <cols>
    <col min="2" max="2" width="73.44140625" customWidth="1"/>
    <col min="3" max="4" width="14.5546875" customWidth="1"/>
    <col min="5" max="5" width="14.5546875" style="29" customWidth="1"/>
    <col min="6" max="6" width="11.44140625" customWidth="1"/>
    <col min="7" max="7" width="13.88671875" bestFit="1" customWidth="1"/>
    <col min="8" max="8" width="12.88671875" bestFit="1" customWidth="1"/>
  </cols>
  <sheetData>
    <row r="4" spans="2:8" x14ac:dyDescent="0.3">
      <c r="B4" s="72" t="s">
        <v>329</v>
      </c>
      <c r="C4" s="72" t="s">
        <v>319</v>
      </c>
      <c r="D4" s="72" t="s">
        <v>318</v>
      </c>
      <c r="E4" s="72" t="s">
        <v>317</v>
      </c>
      <c r="G4" s="72" t="s">
        <v>320</v>
      </c>
      <c r="H4" s="72" t="s">
        <v>321</v>
      </c>
    </row>
    <row r="5" spans="2:8" x14ac:dyDescent="0.3">
      <c r="B5" s="4" t="s">
        <v>133</v>
      </c>
      <c r="C5" s="15" t="s">
        <v>21</v>
      </c>
      <c r="D5" s="15" t="s">
        <v>246</v>
      </c>
      <c r="E5" s="30" t="s">
        <v>316</v>
      </c>
      <c r="G5" s="7">
        <v>23000</v>
      </c>
      <c r="H5" s="7"/>
    </row>
    <row r="6" spans="2:8" x14ac:dyDescent="0.3">
      <c r="B6" s="4" t="s">
        <v>135</v>
      </c>
      <c r="C6" s="15" t="s">
        <v>21</v>
      </c>
      <c r="D6" s="15" t="s">
        <v>246</v>
      </c>
      <c r="E6" s="30" t="s">
        <v>316</v>
      </c>
      <c r="G6" s="7">
        <v>37000</v>
      </c>
      <c r="H6" s="7">
        <f>46100+8000</f>
        <v>54100</v>
      </c>
    </row>
    <row r="7" spans="2:8" x14ac:dyDescent="0.3">
      <c r="B7" s="4" t="s">
        <v>131</v>
      </c>
      <c r="C7" s="15" t="s">
        <v>13</v>
      </c>
      <c r="D7" s="69" t="s">
        <v>246</v>
      </c>
      <c r="E7" s="68" t="s">
        <v>314</v>
      </c>
      <c r="G7" s="7">
        <v>20000</v>
      </c>
      <c r="H7" s="7"/>
    </row>
    <row r="8" spans="2:8" x14ac:dyDescent="0.3">
      <c r="B8" s="4" t="s">
        <v>173</v>
      </c>
      <c r="C8" s="15" t="s">
        <v>13</v>
      </c>
      <c r="D8" s="15" t="s">
        <v>247</v>
      </c>
      <c r="E8" s="30" t="s">
        <v>316</v>
      </c>
      <c r="G8" s="7">
        <v>4000</v>
      </c>
      <c r="H8" s="7">
        <v>0</v>
      </c>
    </row>
    <row r="9" spans="2:8" x14ac:dyDescent="0.3">
      <c r="B9" s="4" t="s">
        <v>43</v>
      </c>
      <c r="C9" s="15" t="s">
        <v>15</v>
      </c>
      <c r="D9" s="15" t="s">
        <v>247</v>
      </c>
      <c r="E9" s="30" t="s">
        <v>316</v>
      </c>
      <c r="G9" s="7">
        <v>13000</v>
      </c>
      <c r="H9" s="7"/>
    </row>
    <row r="10" spans="2:8" x14ac:dyDescent="0.3">
      <c r="B10" s="4" t="s">
        <v>302</v>
      </c>
      <c r="C10" s="15" t="s">
        <v>19</v>
      </c>
      <c r="D10" s="15" t="s">
        <v>247</v>
      </c>
      <c r="E10" s="15" t="s">
        <v>316</v>
      </c>
      <c r="G10" s="7">
        <v>20000</v>
      </c>
      <c r="H10" s="7"/>
    </row>
    <row r="11" spans="2:8" x14ac:dyDescent="0.3">
      <c r="B11" s="4" t="s">
        <v>146</v>
      </c>
      <c r="C11" s="15" t="s">
        <v>14</v>
      </c>
      <c r="D11" s="15" t="s">
        <v>247</v>
      </c>
      <c r="E11" s="15" t="s">
        <v>247</v>
      </c>
      <c r="G11" s="7">
        <v>22500</v>
      </c>
      <c r="H11" s="7"/>
    </row>
    <row r="12" spans="2:8" x14ac:dyDescent="0.3">
      <c r="B12" s="4" t="s">
        <v>71</v>
      </c>
      <c r="C12" s="15" t="s">
        <v>15</v>
      </c>
      <c r="D12" s="15" t="s">
        <v>247</v>
      </c>
      <c r="E12" s="15" t="s">
        <v>247</v>
      </c>
      <c r="F12" t="s">
        <v>315</v>
      </c>
      <c r="G12" s="7">
        <v>10000</v>
      </c>
      <c r="H12" s="7"/>
    </row>
    <row r="13" spans="2:8" x14ac:dyDescent="0.3">
      <c r="B13" s="4" t="s">
        <v>136</v>
      </c>
      <c r="C13" s="15" t="s">
        <v>16</v>
      </c>
      <c r="D13" s="15" t="s">
        <v>247</v>
      </c>
      <c r="E13" s="15" t="s">
        <v>247</v>
      </c>
      <c r="G13" s="7">
        <v>10000</v>
      </c>
      <c r="H13" s="7"/>
    </row>
    <row r="14" spans="2:8" x14ac:dyDescent="0.3">
      <c r="B14" s="4" t="s">
        <v>331</v>
      </c>
      <c r="C14" s="15" t="s">
        <v>16</v>
      </c>
      <c r="D14" s="15" t="s">
        <v>248</v>
      </c>
      <c r="E14" s="30" t="s">
        <v>248</v>
      </c>
      <c r="G14" s="7">
        <v>12000</v>
      </c>
      <c r="H14" s="7"/>
    </row>
    <row r="15" spans="2:8" x14ac:dyDescent="0.3">
      <c r="B15" s="4" t="s">
        <v>229</v>
      </c>
      <c r="C15" s="15" t="s">
        <v>16</v>
      </c>
      <c r="D15" s="15" t="s">
        <v>248</v>
      </c>
      <c r="E15" s="30" t="s">
        <v>248</v>
      </c>
      <c r="G15" s="7">
        <v>12000</v>
      </c>
      <c r="H15" s="7"/>
    </row>
    <row r="16" spans="2:8" x14ac:dyDescent="0.3">
      <c r="B16" s="4" t="s">
        <v>145</v>
      </c>
      <c r="C16" s="15" t="s">
        <v>19</v>
      </c>
      <c r="D16" s="15" t="s">
        <v>248</v>
      </c>
      <c r="E16" s="30" t="s">
        <v>248</v>
      </c>
      <c r="G16" s="7">
        <v>22500</v>
      </c>
      <c r="H16" s="7"/>
    </row>
    <row r="17" spans="2:8" x14ac:dyDescent="0.3">
      <c r="B17" s="4" t="s">
        <v>228</v>
      </c>
      <c r="C17" s="15" t="s">
        <v>97</v>
      </c>
      <c r="D17" s="15" t="s">
        <v>248</v>
      </c>
      <c r="E17" s="30" t="s">
        <v>248</v>
      </c>
      <c r="G17" s="7">
        <v>5000</v>
      </c>
      <c r="H17" s="7"/>
    </row>
    <row r="18" spans="2:8" x14ac:dyDescent="0.3">
      <c r="B18" s="4" t="s">
        <v>234</v>
      </c>
      <c r="C18" s="15" t="s">
        <v>97</v>
      </c>
      <c r="D18" s="71" t="s">
        <v>248</v>
      </c>
      <c r="E18" s="70" t="s">
        <v>249</v>
      </c>
      <c r="F18" t="s">
        <v>525</v>
      </c>
      <c r="G18" s="7">
        <v>5000</v>
      </c>
      <c r="H18" s="7">
        <v>0</v>
      </c>
    </row>
    <row r="19" spans="2:8" x14ac:dyDescent="0.3">
      <c r="B19" s="4" t="s">
        <v>91</v>
      </c>
      <c r="C19" s="15" t="s">
        <v>15</v>
      </c>
      <c r="D19" s="71" t="s">
        <v>248</v>
      </c>
      <c r="E19" s="70" t="s">
        <v>249</v>
      </c>
      <c r="F19" t="s">
        <v>330</v>
      </c>
      <c r="G19" s="7">
        <v>13000</v>
      </c>
      <c r="H19" s="7"/>
    </row>
    <row r="20" spans="2:8" x14ac:dyDescent="0.3">
      <c r="B20" s="4" t="s">
        <v>92</v>
      </c>
      <c r="C20" s="15" t="s">
        <v>15</v>
      </c>
      <c r="D20" s="15" t="s">
        <v>249</v>
      </c>
      <c r="E20" s="30" t="s">
        <v>249</v>
      </c>
      <c r="G20" s="7">
        <v>10000</v>
      </c>
      <c r="H20" s="7"/>
    </row>
    <row r="21" spans="2:8" x14ac:dyDescent="0.3">
      <c r="B21" s="4" t="s">
        <v>313</v>
      </c>
      <c r="C21" s="15" t="s">
        <v>174</v>
      </c>
      <c r="D21" s="69" t="s">
        <v>248</v>
      </c>
      <c r="E21" s="68" t="s">
        <v>314</v>
      </c>
      <c r="G21" s="7">
        <v>5000</v>
      </c>
      <c r="H21" s="7">
        <f>250*3.7</f>
        <v>925</v>
      </c>
    </row>
    <row r="22" spans="2:8" x14ac:dyDescent="0.3">
      <c r="B22" s="4" t="s">
        <v>308</v>
      </c>
      <c r="C22" s="15" t="s">
        <v>19</v>
      </c>
      <c r="D22" s="69" t="s">
        <v>246</v>
      </c>
      <c r="E22" s="68" t="s">
        <v>314</v>
      </c>
      <c r="G22" s="7">
        <v>7000</v>
      </c>
      <c r="H22" s="7">
        <v>2420</v>
      </c>
    </row>
    <row r="23" spans="2:8" x14ac:dyDescent="0.3">
      <c r="B23" s="4" t="s">
        <v>193</v>
      </c>
      <c r="C23" s="15" t="s">
        <v>15</v>
      </c>
      <c r="D23" s="69" t="s">
        <v>246</v>
      </c>
      <c r="E23" s="68" t="s">
        <v>314</v>
      </c>
      <c r="G23" s="7">
        <v>5000</v>
      </c>
      <c r="H23" s="7">
        <v>0</v>
      </c>
    </row>
    <row r="25" spans="2:8" x14ac:dyDescent="0.3">
      <c r="B25" s="73" t="s">
        <v>322</v>
      </c>
      <c r="C25" s="15" t="s">
        <v>21</v>
      </c>
      <c r="H25" s="74">
        <v>640</v>
      </c>
    </row>
    <row r="26" spans="2:8" x14ac:dyDescent="0.3">
      <c r="B26" s="73" t="s">
        <v>323</v>
      </c>
      <c r="C26" s="15" t="s">
        <v>19</v>
      </c>
      <c r="H26" s="74">
        <v>1920</v>
      </c>
    </row>
    <row r="27" spans="2:8" x14ac:dyDescent="0.3">
      <c r="B27" s="73" t="s">
        <v>324</v>
      </c>
      <c r="C27" s="15" t="s">
        <v>16</v>
      </c>
      <c r="H27" s="74">
        <v>2560</v>
      </c>
    </row>
    <row r="28" spans="2:8" x14ac:dyDescent="0.3">
      <c r="B28" s="73" t="s">
        <v>325</v>
      </c>
      <c r="C28" s="15" t="s">
        <v>19</v>
      </c>
      <c r="H28" s="74">
        <v>2560</v>
      </c>
    </row>
    <row r="29" spans="2:8" x14ac:dyDescent="0.3">
      <c r="B29" s="73" t="s">
        <v>326</v>
      </c>
      <c r="C29" s="15" t="s">
        <v>15</v>
      </c>
      <c r="H29" s="74">
        <v>1200</v>
      </c>
    </row>
    <row r="30" spans="2:8" x14ac:dyDescent="0.3">
      <c r="B30" s="73" t="s">
        <v>327</v>
      </c>
      <c r="C30" s="15" t="s">
        <v>27</v>
      </c>
      <c r="H30" s="74">
        <v>240</v>
      </c>
    </row>
    <row r="31" spans="2:8" x14ac:dyDescent="0.3">
      <c r="B31" s="73" t="s">
        <v>328</v>
      </c>
      <c r="C31" s="15" t="s">
        <v>15</v>
      </c>
      <c r="H31" s="74">
        <v>3060</v>
      </c>
    </row>
    <row r="33" spans="7:10" x14ac:dyDescent="0.3">
      <c r="G33" s="74">
        <f>SUM(G5:G32)</f>
        <v>256000</v>
      </c>
      <c r="H33" s="74">
        <f>SUM(H5:H32)</f>
        <v>69625</v>
      </c>
      <c r="I33" s="75">
        <f>H33/G33</f>
        <v>0.27197265625</v>
      </c>
      <c r="J33" s="76">
        <v>45064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61CEC-2C9A-4F8D-969B-533DF54E0A60}">
  <dimension ref="A4:D46"/>
  <sheetViews>
    <sheetView workbookViewId="0">
      <selection activeCell="A25" sqref="A25"/>
    </sheetView>
  </sheetViews>
  <sheetFormatPr baseColWidth="10" defaultRowHeight="14.4" x14ac:dyDescent="0.3"/>
  <cols>
    <col min="1" max="1" width="56.6640625" bestFit="1" customWidth="1"/>
    <col min="4" max="4" width="11.88671875" bestFit="1" customWidth="1"/>
  </cols>
  <sheetData>
    <row r="4" spans="1:3" x14ac:dyDescent="0.3">
      <c r="A4" t="s">
        <v>0</v>
      </c>
    </row>
    <row r="5" spans="1:3" x14ac:dyDescent="0.3">
      <c r="A5" t="s">
        <v>2</v>
      </c>
    </row>
    <row r="6" spans="1:3" x14ac:dyDescent="0.3">
      <c r="A6" t="s">
        <v>3</v>
      </c>
    </row>
    <row r="7" spans="1:3" x14ac:dyDescent="0.3">
      <c r="A7" t="s">
        <v>5</v>
      </c>
    </row>
    <row r="8" spans="1:3" x14ac:dyDescent="0.3">
      <c r="A8" t="s">
        <v>6</v>
      </c>
    </row>
    <row r="9" spans="1:3" x14ac:dyDescent="0.3">
      <c r="A9" t="s">
        <v>7</v>
      </c>
    </row>
    <row r="10" spans="1:3" x14ac:dyDescent="0.3">
      <c r="A10" t="s">
        <v>8</v>
      </c>
    </row>
    <row r="11" spans="1:3" x14ac:dyDescent="0.3">
      <c r="A11" t="s">
        <v>10</v>
      </c>
    </row>
    <row r="12" spans="1:3" x14ac:dyDescent="0.3">
      <c r="A12" t="s">
        <v>11</v>
      </c>
    </row>
    <row r="13" spans="1:3" x14ac:dyDescent="0.3">
      <c r="A13" t="s">
        <v>25</v>
      </c>
      <c r="B13" t="s">
        <v>14</v>
      </c>
    </row>
    <row r="14" spans="1:3" x14ac:dyDescent="0.3">
      <c r="A14" t="s">
        <v>18</v>
      </c>
      <c r="B14" t="s">
        <v>14</v>
      </c>
    </row>
    <row r="15" spans="1:3" x14ac:dyDescent="0.3">
      <c r="A15" t="s">
        <v>39</v>
      </c>
      <c r="B15" t="s">
        <v>14</v>
      </c>
      <c r="C15" t="s">
        <v>15</v>
      </c>
    </row>
    <row r="16" spans="1:3" x14ac:dyDescent="0.3">
      <c r="A16" t="s">
        <v>40</v>
      </c>
      <c r="B16" t="s">
        <v>14</v>
      </c>
    </row>
    <row r="17" spans="1:2" x14ac:dyDescent="0.3">
      <c r="A17" t="s">
        <v>24</v>
      </c>
      <c r="B17" t="s">
        <v>14</v>
      </c>
    </row>
    <row r="18" spans="1:2" x14ac:dyDescent="0.3">
      <c r="A18" t="s">
        <v>12</v>
      </c>
      <c r="B18" t="s">
        <v>14</v>
      </c>
    </row>
    <row r="19" spans="1:2" x14ac:dyDescent="0.3">
      <c r="A19" s="2" t="s">
        <v>46</v>
      </c>
      <c r="B19" t="s">
        <v>15</v>
      </c>
    </row>
    <row r="20" spans="1:2" x14ac:dyDescent="0.3">
      <c r="A20" s="2" t="s">
        <v>4</v>
      </c>
      <c r="B20" t="s">
        <v>15</v>
      </c>
    </row>
    <row r="21" spans="1:2" x14ac:dyDescent="0.3">
      <c r="A21" s="2" t="s">
        <v>23</v>
      </c>
      <c r="B21" t="s">
        <v>15</v>
      </c>
    </row>
    <row r="22" spans="1:2" x14ac:dyDescent="0.3">
      <c r="A22" s="8" t="s">
        <v>71</v>
      </c>
      <c r="B22" s="8" t="s">
        <v>15</v>
      </c>
    </row>
    <row r="23" spans="1:2" x14ac:dyDescent="0.3">
      <c r="A23" s="8" t="s">
        <v>43</v>
      </c>
      <c r="B23" s="8" t="s">
        <v>15</v>
      </c>
    </row>
    <row r="24" spans="1:2" x14ac:dyDescent="0.3">
      <c r="A24" s="8" t="s">
        <v>44</v>
      </c>
      <c r="B24" s="8" t="s">
        <v>15</v>
      </c>
    </row>
    <row r="25" spans="1:2" x14ac:dyDescent="0.3">
      <c r="A25" s="8" t="s">
        <v>45</v>
      </c>
      <c r="B25" s="8" t="s">
        <v>15</v>
      </c>
    </row>
    <row r="26" spans="1:2" x14ac:dyDescent="0.3">
      <c r="A26" s="8" t="s">
        <v>47</v>
      </c>
      <c r="B26" s="8" t="s">
        <v>15</v>
      </c>
    </row>
    <row r="27" spans="1:2" x14ac:dyDescent="0.3">
      <c r="A27" t="s">
        <v>26</v>
      </c>
      <c r="B27" t="s">
        <v>21</v>
      </c>
    </row>
    <row r="28" spans="1:2" x14ac:dyDescent="0.3">
      <c r="A28" t="s">
        <v>17</v>
      </c>
      <c r="B28" t="s">
        <v>13</v>
      </c>
    </row>
    <row r="29" spans="1:2" x14ac:dyDescent="0.3">
      <c r="A29" t="s">
        <v>31</v>
      </c>
      <c r="B29" t="s">
        <v>13</v>
      </c>
    </row>
    <row r="30" spans="1:2" x14ac:dyDescent="0.3">
      <c r="A30" t="s">
        <v>22</v>
      </c>
      <c r="B30" t="s">
        <v>16</v>
      </c>
    </row>
    <row r="31" spans="1:2" x14ac:dyDescent="0.3">
      <c r="A31" s="1" t="s">
        <v>41</v>
      </c>
      <c r="B31" s="1" t="s">
        <v>16</v>
      </c>
    </row>
    <row r="32" spans="1:2" x14ac:dyDescent="0.3">
      <c r="A32" t="s">
        <v>20</v>
      </c>
      <c r="B32" t="s">
        <v>21</v>
      </c>
    </row>
    <row r="33" spans="1:4" x14ac:dyDescent="0.3">
      <c r="A33" t="s">
        <v>35</v>
      </c>
      <c r="B33" t="s">
        <v>21</v>
      </c>
      <c r="C33" t="s">
        <v>27</v>
      </c>
    </row>
    <row r="34" spans="1:4" x14ac:dyDescent="0.3">
      <c r="A34" t="s">
        <v>9</v>
      </c>
      <c r="B34" t="s">
        <v>19</v>
      </c>
    </row>
    <row r="35" spans="1:4" x14ac:dyDescent="0.3">
      <c r="A35" t="s">
        <v>1</v>
      </c>
      <c r="B35" t="s">
        <v>27</v>
      </c>
    </row>
    <row r="36" spans="1:4" x14ac:dyDescent="0.3">
      <c r="A36" t="s">
        <v>28</v>
      </c>
      <c r="B36" t="s">
        <v>27</v>
      </c>
    </row>
    <row r="37" spans="1:4" x14ac:dyDescent="0.3">
      <c r="A37" t="s">
        <v>37</v>
      </c>
      <c r="B37" t="s">
        <v>36</v>
      </c>
      <c r="D37" t="s">
        <v>38</v>
      </c>
    </row>
    <row r="38" spans="1:4" x14ac:dyDescent="0.3">
      <c r="A38" t="s">
        <v>93</v>
      </c>
    </row>
    <row r="42" spans="1:4" x14ac:dyDescent="0.3">
      <c r="A42" t="s">
        <v>29</v>
      </c>
      <c r="B42" t="s">
        <v>13</v>
      </c>
      <c r="D42" t="s">
        <v>30</v>
      </c>
    </row>
    <row r="43" spans="1:4" x14ac:dyDescent="0.3">
      <c r="A43" t="s">
        <v>48</v>
      </c>
      <c r="B43" t="s">
        <v>13</v>
      </c>
    </row>
    <row r="44" spans="1:4" x14ac:dyDescent="0.3">
      <c r="A44" t="s">
        <v>32</v>
      </c>
      <c r="B44" t="s">
        <v>13</v>
      </c>
    </row>
    <row r="45" spans="1:4" x14ac:dyDescent="0.3">
      <c r="A45" t="s">
        <v>34</v>
      </c>
      <c r="B45" t="s">
        <v>33</v>
      </c>
    </row>
    <row r="46" spans="1:4" x14ac:dyDescent="0.3">
      <c r="A46" t="s">
        <v>42</v>
      </c>
      <c r="B46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8930-ADA3-4893-8793-1C1582533B6E}">
  <sheetPr>
    <tabColor rgb="FF92D050"/>
  </sheetPr>
  <dimension ref="A1:AD111"/>
  <sheetViews>
    <sheetView showGridLines="0" tabSelected="1" topLeftCell="D51" zoomScale="63" zoomScaleNormal="92" workbookViewId="0">
      <selection activeCell="L61" sqref="L61:U61"/>
    </sheetView>
  </sheetViews>
  <sheetFormatPr baseColWidth="10" defaultColWidth="0" defaultRowHeight="14.4" zeroHeight="1" x14ac:dyDescent="0.3"/>
  <cols>
    <col min="1" max="1" width="5.88671875" customWidth="1"/>
    <col min="2" max="2" width="9.109375" style="29" bestFit="1" customWidth="1"/>
    <col min="3" max="3" width="6.88671875" style="29" customWidth="1"/>
    <col min="4" max="4" width="8.5546875" style="92" customWidth="1"/>
    <col min="5" max="5" width="8.6640625" style="29" customWidth="1"/>
    <col min="6" max="6" width="16.5546875" style="29" bestFit="1" customWidth="1"/>
    <col min="7" max="7" width="14.88671875" style="29" bestFit="1" customWidth="1"/>
    <col min="8" max="8" width="15" style="168" bestFit="1" customWidth="1"/>
    <col min="9" max="9" width="13.33203125" style="29" customWidth="1"/>
    <col min="10" max="10" width="58.109375" customWidth="1"/>
    <col min="11" max="11" width="5.5546875" style="29" customWidth="1"/>
    <col min="12" max="12" width="28.6640625" bestFit="1" customWidth="1"/>
    <col min="13" max="14" width="14.109375" style="95" customWidth="1"/>
    <col min="15" max="15" width="7.109375" style="98" customWidth="1"/>
    <col min="16" max="16" width="14.109375" style="95" customWidth="1"/>
    <col min="17" max="17" width="26" style="29" bestFit="1" customWidth="1"/>
    <col min="18" max="18" width="11.44140625" style="29" customWidth="1"/>
    <col min="19" max="19" width="12.109375" style="29" bestFit="1" customWidth="1"/>
    <col min="20" max="21" width="11.44140625" style="29" customWidth="1"/>
    <col min="22" max="23" width="11.6640625" style="29" customWidth="1"/>
    <col min="24" max="24" width="19.109375" style="29" bestFit="1" customWidth="1"/>
    <col min="25" max="25" width="11.44140625" customWidth="1"/>
    <col min="26" max="30" width="0" hidden="1" customWidth="1"/>
    <col min="31" max="16384" width="11.44140625" hidden="1"/>
  </cols>
  <sheetData>
    <row r="1" spans="1:24" x14ac:dyDescent="0.3">
      <c r="I1" s="29" t="s">
        <v>529</v>
      </c>
      <c r="J1" s="29">
        <v>3.7</v>
      </c>
      <c r="M1" s="189" t="s">
        <v>375</v>
      </c>
      <c r="N1" s="189"/>
      <c r="O1" s="189" t="s">
        <v>67</v>
      </c>
      <c r="P1" s="189"/>
    </row>
    <row r="2" spans="1:24" s="29" customFormat="1" x14ac:dyDescent="0.3">
      <c r="A2" s="29" t="s">
        <v>687</v>
      </c>
      <c r="B2" s="110" t="s">
        <v>521</v>
      </c>
      <c r="C2" s="111" t="s">
        <v>369</v>
      </c>
      <c r="D2" s="112" t="s">
        <v>376</v>
      </c>
      <c r="E2" s="111" t="s">
        <v>377</v>
      </c>
      <c r="F2" s="111" t="s">
        <v>332</v>
      </c>
      <c r="G2" s="111" t="s">
        <v>378</v>
      </c>
      <c r="H2" s="169" t="s">
        <v>707</v>
      </c>
      <c r="I2" s="111" t="s">
        <v>379</v>
      </c>
      <c r="J2" s="111" t="s">
        <v>62</v>
      </c>
      <c r="K2" s="111" t="s">
        <v>546</v>
      </c>
      <c r="L2" s="111" t="s">
        <v>545</v>
      </c>
      <c r="M2" s="113" t="s">
        <v>253</v>
      </c>
      <c r="N2" s="113" t="s">
        <v>547</v>
      </c>
      <c r="O2" s="113" t="s">
        <v>63</v>
      </c>
      <c r="P2" s="113" t="s">
        <v>526</v>
      </c>
      <c r="Q2" s="111" t="s">
        <v>380</v>
      </c>
      <c r="R2" s="111" t="s">
        <v>244</v>
      </c>
      <c r="S2" s="111" t="s">
        <v>363</v>
      </c>
      <c r="T2" s="111" t="s">
        <v>50</v>
      </c>
      <c r="U2" s="111" t="s">
        <v>641</v>
      </c>
      <c r="V2" s="111" t="s">
        <v>542</v>
      </c>
      <c r="W2" s="123" t="s">
        <v>548</v>
      </c>
      <c r="X2" s="114" t="s">
        <v>522</v>
      </c>
    </row>
    <row r="3" spans="1:24" x14ac:dyDescent="0.3">
      <c r="A3">
        <v>1001</v>
      </c>
      <c r="B3" s="108" t="str">
        <f>+""</f>
        <v/>
      </c>
      <c r="C3" s="30">
        <v>2022</v>
      </c>
      <c r="D3" s="93">
        <v>44680</v>
      </c>
      <c r="E3" s="30" t="s">
        <v>381</v>
      </c>
      <c r="F3" s="30"/>
      <c r="G3" s="30" t="s">
        <v>382</v>
      </c>
      <c r="H3" s="120"/>
      <c r="I3" s="30"/>
      <c r="J3" s="73" t="s">
        <v>383</v>
      </c>
      <c r="K3" s="30">
        <v>1</v>
      </c>
      <c r="L3" s="73" t="s">
        <v>384</v>
      </c>
      <c r="M3" s="74">
        <v>7490</v>
      </c>
      <c r="N3" s="74">
        <v>14980</v>
      </c>
      <c r="O3" s="97" t="s">
        <v>527</v>
      </c>
      <c r="P3" s="74">
        <f t="shared" ref="P3:P34" si="0">IF(O3="SOL",M3,M3*$J$1)</f>
        <v>7490</v>
      </c>
      <c r="Q3" s="30" t="s">
        <v>385</v>
      </c>
      <c r="R3" s="30" t="s">
        <v>239</v>
      </c>
      <c r="S3" s="30" t="s">
        <v>15</v>
      </c>
      <c r="T3" s="30" t="s">
        <v>386</v>
      </c>
      <c r="U3" s="30"/>
      <c r="V3" s="30">
        <f t="shared" ref="V3:V34" si="1">IF(T3="Cancelado",MONTH(D3),"")</f>
        <v>4</v>
      </c>
      <c r="W3" s="120">
        <f>Tabla2[[#This Row],[Fecha]]-DAY(Tabla2[[#This Row],[Fecha]])+1</f>
        <v>44652</v>
      </c>
      <c r="X3" s="109"/>
    </row>
    <row r="4" spans="1:24" x14ac:dyDescent="0.3">
      <c r="A4">
        <v>1002</v>
      </c>
      <c r="B4" s="108" t="str">
        <f>+""</f>
        <v/>
      </c>
      <c r="C4" s="30">
        <v>2022</v>
      </c>
      <c r="D4" s="93">
        <v>44778</v>
      </c>
      <c r="E4" s="30" t="s">
        <v>381</v>
      </c>
      <c r="F4" s="30"/>
      <c r="G4" s="30" t="s">
        <v>387</v>
      </c>
      <c r="H4" s="120"/>
      <c r="I4" s="30"/>
      <c r="J4" s="73" t="s">
        <v>383</v>
      </c>
      <c r="K4" s="30">
        <v>2</v>
      </c>
      <c r="L4" s="73" t="s">
        <v>388</v>
      </c>
      <c r="M4" s="74">
        <v>5243</v>
      </c>
      <c r="N4" s="74">
        <v>14980</v>
      </c>
      <c r="O4" s="97" t="s">
        <v>527</v>
      </c>
      <c r="P4" s="74">
        <f t="shared" si="0"/>
        <v>5243</v>
      </c>
      <c r="Q4" s="30" t="s">
        <v>385</v>
      </c>
      <c r="R4" s="30" t="s">
        <v>239</v>
      </c>
      <c r="S4" s="30" t="s">
        <v>15</v>
      </c>
      <c r="T4" s="30" t="s">
        <v>386</v>
      </c>
      <c r="U4" s="30"/>
      <c r="V4" s="30">
        <f t="shared" si="1"/>
        <v>8</v>
      </c>
      <c r="W4" s="120">
        <f>Tabla2[[#This Row],[Fecha]]-DAY(Tabla2[[#This Row],[Fecha]])+1</f>
        <v>44774</v>
      </c>
      <c r="X4" s="109"/>
    </row>
    <row r="5" spans="1:24" x14ac:dyDescent="0.3">
      <c r="A5">
        <v>1003</v>
      </c>
      <c r="B5" s="108" t="str">
        <f>+""</f>
        <v/>
      </c>
      <c r="C5" s="30">
        <v>2022</v>
      </c>
      <c r="D5" s="93">
        <v>44852</v>
      </c>
      <c r="E5" s="30" t="s">
        <v>368</v>
      </c>
      <c r="F5" s="30"/>
      <c r="G5" s="30" t="s">
        <v>389</v>
      </c>
      <c r="H5" s="120"/>
      <c r="I5" s="30"/>
      <c r="J5" s="73" t="s">
        <v>390</v>
      </c>
      <c r="K5" s="30">
        <v>1</v>
      </c>
      <c r="L5" s="73" t="s">
        <v>391</v>
      </c>
      <c r="M5" s="74">
        <v>2320</v>
      </c>
      <c r="N5" s="74">
        <v>2320</v>
      </c>
      <c r="O5" s="97" t="s">
        <v>527</v>
      </c>
      <c r="P5" s="74">
        <f t="shared" si="0"/>
        <v>2320</v>
      </c>
      <c r="Q5" s="30" t="s">
        <v>385</v>
      </c>
      <c r="R5" s="30" t="s">
        <v>238</v>
      </c>
      <c r="S5" s="30" t="s">
        <v>19</v>
      </c>
      <c r="T5" s="30" t="s">
        <v>386</v>
      </c>
      <c r="U5" s="30"/>
      <c r="V5" s="30">
        <f t="shared" si="1"/>
        <v>10</v>
      </c>
      <c r="W5" s="120">
        <f>Tabla2[[#This Row],[Fecha]]-DAY(Tabla2[[#This Row],[Fecha]])+1</f>
        <v>44835</v>
      </c>
      <c r="X5" s="109"/>
    </row>
    <row r="6" spans="1:24" x14ac:dyDescent="0.3">
      <c r="A6">
        <v>1004</v>
      </c>
      <c r="B6" s="108" t="str">
        <f>+""</f>
        <v/>
      </c>
      <c r="C6" s="30">
        <v>2022</v>
      </c>
      <c r="D6" s="93">
        <v>44852</v>
      </c>
      <c r="E6" s="30" t="s">
        <v>368</v>
      </c>
      <c r="F6" s="30" t="s">
        <v>392</v>
      </c>
      <c r="G6" s="30" t="s">
        <v>393</v>
      </c>
      <c r="H6" s="120"/>
      <c r="I6" s="30"/>
      <c r="J6" s="73" t="s">
        <v>394</v>
      </c>
      <c r="K6" s="30">
        <v>1</v>
      </c>
      <c r="L6" s="73" t="s">
        <v>395</v>
      </c>
      <c r="M6" s="74">
        <v>2412</v>
      </c>
      <c r="N6" s="74">
        <v>8040</v>
      </c>
      <c r="O6" s="97" t="s">
        <v>527</v>
      </c>
      <c r="P6" s="74">
        <f t="shared" si="0"/>
        <v>2412</v>
      </c>
      <c r="Q6" s="30" t="s">
        <v>385</v>
      </c>
      <c r="R6" s="30" t="s">
        <v>238</v>
      </c>
      <c r="S6" s="30" t="s">
        <v>21</v>
      </c>
      <c r="T6" s="30" t="s">
        <v>386</v>
      </c>
      <c r="U6" s="30"/>
      <c r="V6" s="30">
        <f t="shared" si="1"/>
        <v>10</v>
      </c>
      <c r="W6" s="120">
        <f>Tabla2[[#This Row],[Fecha]]-DAY(Tabla2[[#This Row],[Fecha]])+1</f>
        <v>44835</v>
      </c>
      <c r="X6" s="109"/>
    </row>
    <row r="7" spans="1:24" x14ac:dyDescent="0.3">
      <c r="A7">
        <v>1005</v>
      </c>
      <c r="B7" s="108" t="str">
        <f>+""</f>
        <v/>
      </c>
      <c r="C7" s="30">
        <v>2022</v>
      </c>
      <c r="D7" s="93">
        <v>44879</v>
      </c>
      <c r="E7" s="30" t="s">
        <v>396</v>
      </c>
      <c r="F7" s="30" t="s">
        <v>397</v>
      </c>
      <c r="G7" s="30" t="s">
        <v>398</v>
      </c>
      <c r="H7" s="120"/>
      <c r="I7" s="30"/>
      <c r="J7" s="73" t="s">
        <v>399</v>
      </c>
      <c r="K7" s="30">
        <v>1</v>
      </c>
      <c r="L7" s="73" t="s">
        <v>391</v>
      </c>
      <c r="M7" s="74">
        <v>4515</v>
      </c>
      <c r="N7" s="74">
        <v>4145</v>
      </c>
      <c r="O7" s="97" t="s">
        <v>527</v>
      </c>
      <c r="P7" s="74">
        <f t="shared" si="0"/>
        <v>4515</v>
      </c>
      <c r="Q7" s="30" t="s">
        <v>385</v>
      </c>
      <c r="R7" s="30" t="s">
        <v>238</v>
      </c>
      <c r="S7" s="30" t="s">
        <v>21</v>
      </c>
      <c r="T7" s="30" t="s">
        <v>386</v>
      </c>
      <c r="U7" s="30"/>
      <c r="V7" s="30">
        <f t="shared" si="1"/>
        <v>11</v>
      </c>
      <c r="W7" s="120">
        <f>Tabla2[[#This Row],[Fecha]]-DAY(Tabla2[[#This Row],[Fecha]])+1</f>
        <v>44866</v>
      </c>
      <c r="X7" s="109"/>
    </row>
    <row r="8" spans="1:24" x14ac:dyDescent="0.3">
      <c r="A8">
        <v>1006</v>
      </c>
      <c r="B8" s="108" t="str">
        <f>+""</f>
        <v/>
      </c>
      <c r="C8" s="30">
        <v>2022</v>
      </c>
      <c r="D8" s="93">
        <v>44879</v>
      </c>
      <c r="E8" s="30" t="s">
        <v>396</v>
      </c>
      <c r="F8" s="30" t="s">
        <v>397</v>
      </c>
      <c r="G8" s="30" t="s">
        <v>400</v>
      </c>
      <c r="H8" s="120"/>
      <c r="I8" s="30"/>
      <c r="J8" s="73" t="s">
        <v>401</v>
      </c>
      <c r="K8" s="30">
        <v>1</v>
      </c>
      <c r="L8" s="73" t="s">
        <v>391</v>
      </c>
      <c r="M8" s="74">
        <v>370</v>
      </c>
      <c r="N8" s="74">
        <v>370</v>
      </c>
      <c r="O8" s="97" t="s">
        <v>527</v>
      </c>
      <c r="P8" s="74">
        <f t="shared" si="0"/>
        <v>370</v>
      </c>
      <c r="Q8" s="30" t="s">
        <v>321</v>
      </c>
      <c r="R8" s="30" t="s">
        <v>238</v>
      </c>
      <c r="S8" s="30" t="s">
        <v>21</v>
      </c>
      <c r="T8" s="30" t="s">
        <v>386</v>
      </c>
      <c r="U8" s="30"/>
      <c r="V8" s="30">
        <f t="shared" si="1"/>
        <v>11</v>
      </c>
      <c r="W8" s="120">
        <f>Tabla2[[#This Row],[Fecha]]-DAY(Tabla2[[#This Row],[Fecha]])+1</f>
        <v>44866</v>
      </c>
      <c r="X8" s="109"/>
    </row>
    <row r="9" spans="1:24" x14ac:dyDescent="0.3">
      <c r="A9">
        <v>1007</v>
      </c>
      <c r="B9" s="108" t="str">
        <f>+""</f>
        <v/>
      </c>
      <c r="C9" s="30">
        <v>2022</v>
      </c>
      <c r="D9" s="93">
        <v>44886</v>
      </c>
      <c r="E9" s="30" t="s">
        <v>381</v>
      </c>
      <c r="F9" s="30"/>
      <c r="G9" s="30" t="s">
        <v>402</v>
      </c>
      <c r="H9" s="120"/>
      <c r="I9" s="30"/>
      <c r="J9" s="73" t="s">
        <v>383</v>
      </c>
      <c r="K9" s="30">
        <v>3</v>
      </c>
      <c r="L9" s="73" t="s">
        <v>403</v>
      </c>
      <c r="M9" s="74">
        <v>2247</v>
      </c>
      <c r="N9" s="74">
        <v>14980</v>
      </c>
      <c r="O9" s="97" t="s">
        <v>527</v>
      </c>
      <c r="P9" s="74">
        <f t="shared" si="0"/>
        <v>2247</v>
      </c>
      <c r="Q9" s="30" t="s">
        <v>385</v>
      </c>
      <c r="R9" s="30" t="s">
        <v>239</v>
      </c>
      <c r="S9" s="30" t="s">
        <v>15</v>
      </c>
      <c r="T9" s="30" t="s">
        <v>386</v>
      </c>
      <c r="U9" s="30"/>
      <c r="V9" s="30">
        <f t="shared" si="1"/>
        <v>11</v>
      </c>
      <c r="W9" s="120">
        <f>Tabla2[[#This Row],[Fecha]]-DAY(Tabla2[[#This Row],[Fecha]])+1</f>
        <v>44866</v>
      </c>
      <c r="X9" s="109"/>
    </row>
    <row r="10" spans="1:24" x14ac:dyDescent="0.3">
      <c r="A10">
        <v>1008</v>
      </c>
      <c r="B10" s="108" t="str">
        <f>+""</f>
        <v/>
      </c>
      <c r="C10" s="30">
        <v>2022</v>
      </c>
      <c r="D10" s="93">
        <v>44887</v>
      </c>
      <c r="E10" s="30" t="s">
        <v>368</v>
      </c>
      <c r="F10" s="30"/>
      <c r="G10" s="30" t="s">
        <v>404</v>
      </c>
      <c r="H10" s="120"/>
      <c r="I10" s="30"/>
      <c r="J10" s="73" t="s">
        <v>405</v>
      </c>
      <c r="K10" s="30"/>
      <c r="L10" s="73" t="s">
        <v>406</v>
      </c>
      <c r="M10" s="74">
        <v>4600</v>
      </c>
      <c r="N10" s="74">
        <v>55200</v>
      </c>
      <c r="O10" s="97" t="s">
        <v>527</v>
      </c>
      <c r="P10" s="74">
        <f t="shared" si="0"/>
        <v>4600</v>
      </c>
      <c r="Q10" s="30" t="s">
        <v>321</v>
      </c>
      <c r="R10" s="30" t="s">
        <v>238</v>
      </c>
      <c r="S10" s="30" t="s">
        <v>243</v>
      </c>
      <c r="T10" s="30" t="s">
        <v>386</v>
      </c>
      <c r="U10" s="30"/>
      <c r="V10" s="30">
        <f t="shared" si="1"/>
        <v>11</v>
      </c>
      <c r="W10" s="120">
        <f>Tabla2[[#This Row],[Fecha]]-DAY(Tabla2[[#This Row],[Fecha]])+1</f>
        <v>44866</v>
      </c>
      <c r="X10" s="109"/>
    </row>
    <row r="11" spans="1:24" x14ac:dyDescent="0.3">
      <c r="A11">
        <v>1009</v>
      </c>
      <c r="B11" s="108" t="str">
        <f>+""</f>
        <v/>
      </c>
      <c r="C11" s="30">
        <v>2022</v>
      </c>
      <c r="D11" s="93">
        <v>44887</v>
      </c>
      <c r="E11" s="30" t="s">
        <v>368</v>
      </c>
      <c r="F11" s="30"/>
      <c r="G11" s="30" t="s">
        <v>407</v>
      </c>
      <c r="H11" s="120"/>
      <c r="I11" s="30"/>
      <c r="J11" s="73" t="s">
        <v>390</v>
      </c>
      <c r="K11" s="30"/>
      <c r="L11" s="73" t="s">
        <v>408</v>
      </c>
      <c r="M11" s="74">
        <v>960</v>
      </c>
      <c r="N11" s="74">
        <v>2320</v>
      </c>
      <c r="O11" s="97" t="s">
        <v>527</v>
      </c>
      <c r="P11" s="74">
        <f t="shared" si="0"/>
        <v>960</v>
      </c>
      <c r="Q11" s="30" t="s">
        <v>385</v>
      </c>
      <c r="R11" s="30" t="s">
        <v>238</v>
      </c>
      <c r="S11" s="30" t="s">
        <v>19</v>
      </c>
      <c r="T11" s="30" t="s">
        <v>386</v>
      </c>
      <c r="U11" s="30"/>
      <c r="V11" s="30">
        <f t="shared" si="1"/>
        <v>11</v>
      </c>
      <c r="W11" s="120">
        <f>Tabla2[[#This Row],[Fecha]]-DAY(Tabla2[[#This Row],[Fecha]])+1</f>
        <v>44866</v>
      </c>
      <c r="X11" s="109"/>
    </row>
    <row r="12" spans="1:24" x14ac:dyDescent="0.3">
      <c r="A12">
        <v>1010</v>
      </c>
      <c r="B12" s="108" t="str">
        <f>+""</f>
        <v/>
      </c>
      <c r="C12" s="30">
        <v>2022</v>
      </c>
      <c r="D12" s="93">
        <v>44887</v>
      </c>
      <c r="E12" s="30" t="s">
        <v>368</v>
      </c>
      <c r="F12" s="30" t="s">
        <v>409</v>
      </c>
      <c r="G12" s="30" t="s">
        <v>410</v>
      </c>
      <c r="H12" s="120"/>
      <c r="I12" s="30"/>
      <c r="J12" s="73" t="s">
        <v>411</v>
      </c>
      <c r="K12" s="30">
        <v>1</v>
      </c>
      <c r="L12" s="73" t="s">
        <v>391</v>
      </c>
      <c r="M12" s="74">
        <v>2420</v>
      </c>
      <c r="N12" s="74">
        <v>2420</v>
      </c>
      <c r="O12" s="97" t="s">
        <v>527</v>
      </c>
      <c r="P12" s="74">
        <f t="shared" si="0"/>
        <v>2420</v>
      </c>
      <c r="Q12" s="30" t="s">
        <v>385</v>
      </c>
      <c r="R12" s="30" t="s">
        <v>238</v>
      </c>
      <c r="S12" s="30" t="s">
        <v>243</v>
      </c>
      <c r="T12" s="30" t="s">
        <v>386</v>
      </c>
      <c r="U12" s="30"/>
      <c r="V12" s="30">
        <f t="shared" si="1"/>
        <v>11</v>
      </c>
      <c r="W12" s="120">
        <f>Tabla2[[#This Row],[Fecha]]-DAY(Tabla2[[#This Row],[Fecha]])+1</f>
        <v>44866</v>
      </c>
      <c r="X12" s="109"/>
    </row>
    <row r="13" spans="1:24" x14ac:dyDescent="0.3">
      <c r="A13">
        <v>1011</v>
      </c>
      <c r="B13" s="108" t="str">
        <f>+""</f>
        <v/>
      </c>
      <c r="C13" s="30">
        <v>2022</v>
      </c>
      <c r="D13" s="93">
        <v>44887</v>
      </c>
      <c r="E13" s="30" t="s">
        <v>368</v>
      </c>
      <c r="F13" s="30" t="s">
        <v>392</v>
      </c>
      <c r="G13" s="30" t="s">
        <v>412</v>
      </c>
      <c r="H13" s="120"/>
      <c r="I13" s="30"/>
      <c r="J13" s="73" t="s">
        <v>394</v>
      </c>
      <c r="K13" s="30">
        <v>2</v>
      </c>
      <c r="L13" s="73" t="s">
        <v>413</v>
      </c>
      <c r="M13" s="74">
        <v>2814</v>
      </c>
      <c r="N13" s="74">
        <v>8040</v>
      </c>
      <c r="O13" s="97" t="s">
        <v>527</v>
      </c>
      <c r="P13" s="74">
        <f t="shared" si="0"/>
        <v>2814</v>
      </c>
      <c r="Q13" s="30" t="s">
        <v>385</v>
      </c>
      <c r="R13" s="30" t="s">
        <v>238</v>
      </c>
      <c r="S13" s="30" t="s">
        <v>21</v>
      </c>
      <c r="T13" s="30" t="s">
        <v>386</v>
      </c>
      <c r="U13" s="30"/>
      <c r="V13" s="30">
        <f t="shared" si="1"/>
        <v>11</v>
      </c>
      <c r="W13" s="120">
        <f>Tabla2[[#This Row],[Fecha]]-DAY(Tabla2[[#This Row],[Fecha]])+1</f>
        <v>44866</v>
      </c>
      <c r="X13" s="109"/>
    </row>
    <row r="14" spans="1:24" x14ac:dyDescent="0.3">
      <c r="A14">
        <v>1012</v>
      </c>
      <c r="B14" s="108" t="str">
        <f>+""</f>
        <v/>
      </c>
      <c r="C14" s="30">
        <v>2022</v>
      </c>
      <c r="D14" s="93">
        <v>44887</v>
      </c>
      <c r="E14" s="30" t="s">
        <v>368</v>
      </c>
      <c r="F14" s="30" t="s">
        <v>414</v>
      </c>
      <c r="G14" s="30" t="s">
        <v>415</v>
      </c>
      <c r="H14" s="120"/>
      <c r="I14" s="30"/>
      <c r="J14" s="73" t="s">
        <v>416</v>
      </c>
      <c r="K14" s="30">
        <v>1</v>
      </c>
      <c r="L14" s="73" t="s">
        <v>417</v>
      </c>
      <c r="M14" s="74">
        <v>3210</v>
      </c>
      <c r="N14" s="74">
        <v>10700</v>
      </c>
      <c r="O14" s="97" t="s">
        <v>527</v>
      </c>
      <c r="P14" s="74">
        <f t="shared" si="0"/>
        <v>3210</v>
      </c>
      <c r="Q14" s="30" t="s">
        <v>385</v>
      </c>
      <c r="R14" s="30" t="s">
        <v>238</v>
      </c>
      <c r="S14" s="30" t="s">
        <v>19</v>
      </c>
      <c r="T14" s="30" t="s">
        <v>386</v>
      </c>
      <c r="U14" s="30"/>
      <c r="V14" s="30">
        <f t="shared" si="1"/>
        <v>11</v>
      </c>
      <c r="W14" s="120">
        <f>Tabla2[[#This Row],[Fecha]]-DAY(Tabla2[[#This Row],[Fecha]])+1</f>
        <v>44866</v>
      </c>
      <c r="X14" s="109"/>
    </row>
    <row r="15" spans="1:24" x14ac:dyDescent="0.3">
      <c r="A15">
        <v>1013</v>
      </c>
      <c r="B15" s="108" t="str">
        <f>+""</f>
        <v/>
      </c>
      <c r="C15" s="30">
        <v>2022</v>
      </c>
      <c r="D15" s="93">
        <v>44910</v>
      </c>
      <c r="E15" s="30" t="s">
        <v>368</v>
      </c>
      <c r="F15" s="30"/>
      <c r="G15" s="30" t="s">
        <v>418</v>
      </c>
      <c r="H15" s="120"/>
      <c r="I15" s="30"/>
      <c r="J15" s="73" t="s">
        <v>405</v>
      </c>
      <c r="K15" s="30"/>
      <c r="L15" s="73" t="s">
        <v>419</v>
      </c>
      <c r="M15" s="74">
        <v>4600</v>
      </c>
      <c r="N15" s="74">
        <v>55200</v>
      </c>
      <c r="O15" s="97" t="s">
        <v>527</v>
      </c>
      <c r="P15" s="74">
        <f t="shared" si="0"/>
        <v>4600</v>
      </c>
      <c r="Q15" s="30" t="s">
        <v>321</v>
      </c>
      <c r="R15" s="30" t="s">
        <v>238</v>
      </c>
      <c r="S15" s="30" t="s">
        <v>243</v>
      </c>
      <c r="T15" s="30" t="s">
        <v>386</v>
      </c>
      <c r="U15" s="30"/>
      <c r="V15" s="30">
        <f t="shared" si="1"/>
        <v>12</v>
      </c>
      <c r="W15" s="120">
        <f>Tabla2[[#This Row],[Fecha]]-DAY(Tabla2[[#This Row],[Fecha]])+1</f>
        <v>44896</v>
      </c>
      <c r="X15" s="109"/>
    </row>
    <row r="16" spans="1:24" x14ac:dyDescent="0.3">
      <c r="A16">
        <v>1014</v>
      </c>
      <c r="B16" s="108" t="str">
        <f>+""</f>
        <v/>
      </c>
      <c r="C16" s="30">
        <v>2022</v>
      </c>
      <c r="D16" s="93">
        <v>44910</v>
      </c>
      <c r="E16" s="30" t="s">
        <v>368</v>
      </c>
      <c r="F16" s="30" t="s">
        <v>392</v>
      </c>
      <c r="G16" s="30" t="s">
        <v>420</v>
      </c>
      <c r="H16" s="120"/>
      <c r="I16" s="30"/>
      <c r="J16" s="73" t="s">
        <v>394</v>
      </c>
      <c r="K16" s="30">
        <v>3</v>
      </c>
      <c r="L16" s="73" t="s">
        <v>421</v>
      </c>
      <c r="M16" s="74">
        <v>2814</v>
      </c>
      <c r="N16" s="74">
        <v>8040</v>
      </c>
      <c r="O16" s="97" t="s">
        <v>527</v>
      </c>
      <c r="P16" s="74">
        <f t="shared" si="0"/>
        <v>2814</v>
      </c>
      <c r="Q16" s="30" t="s">
        <v>385</v>
      </c>
      <c r="R16" s="30" t="s">
        <v>238</v>
      </c>
      <c r="S16" s="30" t="s">
        <v>21</v>
      </c>
      <c r="T16" s="30" t="s">
        <v>386</v>
      </c>
      <c r="U16" s="30"/>
      <c r="V16" s="30">
        <f t="shared" si="1"/>
        <v>12</v>
      </c>
      <c r="W16" s="120">
        <f>Tabla2[[#This Row],[Fecha]]-DAY(Tabla2[[#This Row],[Fecha]])+1</f>
        <v>44896</v>
      </c>
      <c r="X16" s="109"/>
    </row>
    <row r="17" spans="1:24" x14ac:dyDescent="0.3">
      <c r="A17">
        <v>1015</v>
      </c>
      <c r="B17" s="108" t="str">
        <f>+""</f>
        <v/>
      </c>
      <c r="C17" s="30">
        <v>2022</v>
      </c>
      <c r="D17" s="93">
        <v>44910</v>
      </c>
      <c r="E17" s="30" t="s">
        <v>368</v>
      </c>
      <c r="F17" s="30" t="s">
        <v>414</v>
      </c>
      <c r="G17" s="30" t="s">
        <v>422</v>
      </c>
      <c r="H17" s="120"/>
      <c r="I17" s="30"/>
      <c r="J17" s="73" t="s">
        <v>416</v>
      </c>
      <c r="K17" s="30">
        <v>2</v>
      </c>
      <c r="L17" s="73" t="s">
        <v>423</v>
      </c>
      <c r="M17" s="74">
        <v>2496.67</v>
      </c>
      <c r="N17" s="74">
        <v>10700</v>
      </c>
      <c r="O17" s="97" t="s">
        <v>527</v>
      </c>
      <c r="P17" s="74">
        <f t="shared" si="0"/>
        <v>2496.67</v>
      </c>
      <c r="Q17" s="30" t="s">
        <v>385</v>
      </c>
      <c r="R17" s="30" t="s">
        <v>238</v>
      </c>
      <c r="S17" s="30" t="s">
        <v>19</v>
      </c>
      <c r="T17" s="30" t="s">
        <v>386</v>
      </c>
      <c r="U17" s="30"/>
      <c r="V17" s="30">
        <f t="shared" si="1"/>
        <v>12</v>
      </c>
      <c r="W17" s="120">
        <f>Tabla2[[#This Row],[Fecha]]-DAY(Tabla2[[#This Row],[Fecha]])+1</f>
        <v>44896</v>
      </c>
      <c r="X17" s="109"/>
    </row>
    <row r="18" spans="1:24" x14ac:dyDescent="0.3">
      <c r="A18">
        <v>1016</v>
      </c>
      <c r="B18" s="108" t="str">
        <f>+""</f>
        <v/>
      </c>
      <c r="C18" s="30">
        <v>2022</v>
      </c>
      <c r="D18" s="93">
        <v>44910</v>
      </c>
      <c r="E18" s="30" t="s">
        <v>368</v>
      </c>
      <c r="F18" s="30" t="s">
        <v>424</v>
      </c>
      <c r="G18" s="30" t="s">
        <v>425</v>
      </c>
      <c r="H18" s="120"/>
      <c r="I18" s="30"/>
      <c r="J18" s="73" t="s">
        <v>426</v>
      </c>
      <c r="K18" s="30">
        <v>1</v>
      </c>
      <c r="L18" s="73" t="s">
        <v>391</v>
      </c>
      <c r="M18" s="74">
        <v>1780</v>
      </c>
      <c r="N18" s="74">
        <v>1780</v>
      </c>
      <c r="O18" s="97" t="s">
        <v>527</v>
      </c>
      <c r="P18" s="74">
        <f t="shared" si="0"/>
        <v>1780</v>
      </c>
      <c r="Q18" s="30" t="s">
        <v>385</v>
      </c>
      <c r="R18" s="30" t="s">
        <v>238</v>
      </c>
      <c r="S18" s="30" t="s">
        <v>16</v>
      </c>
      <c r="T18" s="30" t="s">
        <v>386</v>
      </c>
      <c r="U18" s="30"/>
      <c r="V18" s="30">
        <f t="shared" si="1"/>
        <v>12</v>
      </c>
      <c r="W18" s="120">
        <f>Tabla2[[#This Row],[Fecha]]-DAY(Tabla2[[#This Row],[Fecha]])+1</f>
        <v>44896</v>
      </c>
      <c r="X18" s="109"/>
    </row>
    <row r="19" spans="1:24" x14ac:dyDescent="0.3">
      <c r="A19">
        <v>1017</v>
      </c>
      <c r="B19" s="108" t="str">
        <f>+""</f>
        <v/>
      </c>
      <c r="C19" s="30">
        <v>2022</v>
      </c>
      <c r="D19" s="93">
        <v>44910</v>
      </c>
      <c r="E19" s="30" t="s">
        <v>368</v>
      </c>
      <c r="F19" s="30" t="s">
        <v>427</v>
      </c>
      <c r="G19" s="30" t="s">
        <v>428</v>
      </c>
      <c r="H19" s="120"/>
      <c r="I19" s="30"/>
      <c r="J19" s="73" t="s">
        <v>429</v>
      </c>
      <c r="K19" s="30">
        <v>1</v>
      </c>
      <c r="L19" s="73" t="s">
        <v>417</v>
      </c>
      <c r="M19" s="74">
        <v>3000</v>
      </c>
      <c r="N19" s="74">
        <v>10000</v>
      </c>
      <c r="O19" s="97" t="s">
        <v>527</v>
      </c>
      <c r="P19" s="74">
        <f t="shared" si="0"/>
        <v>3000</v>
      </c>
      <c r="Q19" s="30" t="s">
        <v>385</v>
      </c>
      <c r="R19" s="30" t="s">
        <v>238</v>
      </c>
      <c r="S19" s="30" t="s">
        <v>21</v>
      </c>
      <c r="T19" s="30" t="s">
        <v>386</v>
      </c>
      <c r="U19" s="30"/>
      <c r="V19" s="30">
        <f t="shared" si="1"/>
        <v>12</v>
      </c>
      <c r="W19" s="120">
        <f>Tabla2[[#This Row],[Fecha]]-DAY(Tabla2[[#This Row],[Fecha]])+1</f>
        <v>44896</v>
      </c>
      <c r="X19" s="109"/>
    </row>
    <row r="20" spans="1:24" x14ac:dyDescent="0.3">
      <c r="A20">
        <v>1018</v>
      </c>
      <c r="B20" s="108" t="str">
        <f>+""</f>
        <v/>
      </c>
      <c r="C20" s="30">
        <v>2022</v>
      </c>
      <c r="D20" s="93">
        <v>44911</v>
      </c>
      <c r="E20" s="30" t="s">
        <v>381</v>
      </c>
      <c r="F20" s="30" t="s">
        <v>430</v>
      </c>
      <c r="G20" s="30" t="s">
        <v>431</v>
      </c>
      <c r="H20" s="120"/>
      <c r="I20" s="30"/>
      <c r="J20" s="73" t="s">
        <v>432</v>
      </c>
      <c r="K20" s="30">
        <v>1</v>
      </c>
      <c r="L20" s="73" t="s">
        <v>391</v>
      </c>
      <c r="M20" s="74">
        <v>840</v>
      </c>
      <c r="N20" s="74">
        <v>840</v>
      </c>
      <c r="O20" s="97" t="s">
        <v>527</v>
      </c>
      <c r="P20" s="74">
        <f t="shared" si="0"/>
        <v>840</v>
      </c>
      <c r="Q20" s="30" t="s">
        <v>385</v>
      </c>
      <c r="R20" s="30" t="s">
        <v>238</v>
      </c>
      <c r="S20" s="30" t="s">
        <v>15</v>
      </c>
      <c r="T20" s="30" t="s">
        <v>386</v>
      </c>
      <c r="U20" s="30"/>
      <c r="V20" s="30">
        <f t="shared" si="1"/>
        <v>12</v>
      </c>
      <c r="W20" s="120">
        <f>Tabla2[[#This Row],[Fecha]]-DAY(Tabla2[[#This Row],[Fecha]])+1</f>
        <v>44896</v>
      </c>
      <c r="X20" s="109"/>
    </row>
    <row r="21" spans="1:24" x14ac:dyDescent="0.3">
      <c r="A21">
        <v>1019</v>
      </c>
      <c r="B21" s="108" t="str">
        <f>+""</f>
        <v/>
      </c>
      <c r="C21" s="30">
        <v>2022</v>
      </c>
      <c r="D21" s="93">
        <v>44945</v>
      </c>
      <c r="E21" s="30" t="s">
        <v>368</v>
      </c>
      <c r="F21" s="30"/>
      <c r="G21" s="30" t="s">
        <v>433</v>
      </c>
      <c r="H21" s="120"/>
      <c r="I21" s="30"/>
      <c r="J21" s="73" t="s">
        <v>405</v>
      </c>
      <c r="K21" s="30"/>
      <c r="L21" s="73" t="s">
        <v>434</v>
      </c>
      <c r="M21" s="74">
        <v>4600</v>
      </c>
      <c r="N21" s="74">
        <v>55200</v>
      </c>
      <c r="O21" s="97" t="s">
        <v>527</v>
      </c>
      <c r="P21" s="74">
        <f t="shared" si="0"/>
        <v>4600</v>
      </c>
      <c r="Q21" s="30" t="s">
        <v>321</v>
      </c>
      <c r="R21" s="30" t="s">
        <v>238</v>
      </c>
      <c r="S21" s="30" t="s">
        <v>243</v>
      </c>
      <c r="T21" s="30" t="s">
        <v>386</v>
      </c>
      <c r="U21" s="30"/>
      <c r="V21" s="30">
        <f t="shared" si="1"/>
        <v>1</v>
      </c>
      <c r="W21" s="120">
        <f>Tabla2[[#This Row],[Fecha]]-DAY(Tabla2[[#This Row],[Fecha]])+1</f>
        <v>44927</v>
      </c>
      <c r="X21" s="109"/>
    </row>
    <row r="22" spans="1:24" x14ac:dyDescent="0.3">
      <c r="A22">
        <v>1020</v>
      </c>
      <c r="B22" s="108" t="str">
        <f>+""</f>
        <v/>
      </c>
      <c r="C22" s="30">
        <v>2022</v>
      </c>
      <c r="D22" s="93">
        <v>44945</v>
      </c>
      <c r="E22" s="30" t="s">
        <v>368</v>
      </c>
      <c r="F22" s="30" t="s">
        <v>414</v>
      </c>
      <c r="G22" s="30" t="s">
        <v>435</v>
      </c>
      <c r="H22" s="120"/>
      <c r="I22" s="30"/>
      <c r="J22" s="73" t="s">
        <v>416</v>
      </c>
      <c r="K22" s="30">
        <v>3</v>
      </c>
      <c r="L22" s="73" t="s">
        <v>436</v>
      </c>
      <c r="M22" s="74">
        <v>2496.67</v>
      </c>
      <c r="N22" s="74">
        <v>10700</v>
      </c>
      <c r="O22" s="97" t="s">
        <v>527</v>
      </c>
      <c r="P22" s="74">
        <f t="shared" si="0"/>
        <v>2496.67</v>
      </c>
      <c r="Q22" s="30" t="s">
        <v>385</v>
      </c>
      <c r="R22" s="30" t="s">
        <v>238</v>
      </c>
      <c r="S22" s="30" t="s">
        <v>19</v>
      </c>
      <c r="T22" s="30" t="s">
        <v>386</v>
      </c>
      <c r="U22" s="30"/>
      <c r="V22" s="30">
        <f t="shared" si="1"/>
        <v>1</v>
      </c>
      <c r="W22" s="120">
        <f>Tabla2[[#This Row],[Fecha]]-DAY(Tabla2[[#This Row],[Fecha]])+1</f>
        <v>44927</v>
      </c>
      <c r="X22" s="109"/>
    </row>
    <row r="23" spans="1:24" x14ac:dyDescent="0.3">
      <c r="A23">
        <v>1021</v>
      </c>
      <c r="B23" s="108" t="str">
        <f>+""</f>
        <v/>
      </c>
      <c r="C23" s="30">
        <v>2022</v>
      </c>
      <c r="D23" s="93">
        <v>44945</v>
      </c>
      <c r="E23" s="30" t="s">
        <v>368</v>
      </c>
      <c r="F23" s="30" t="s">
        <v>427</v>
      </c>
      <c r="G23" s="30" t="s">
        <v>437</v>
      </c>
      <c r="H23" s="120"/>
      <c r="I23" s="30"/>
      <c r="J23" s="73" t="s">
        <v>429</v>
      </c>
      <c r="K23" s="30">
        <v>2</v>
      </c>
      <c r="L23" s="73" t="s">
        <v>423</v>
      </c>
      <c r="M23" s="74">
        <v>2333.33</v>
      </c>
      <c r="N23" s="74">
        <v>10000</v>
      </c>
      <c r="O23" s="97" t="s">
        <v>527</v>
      </c>
      <c r="P23" s="74">
        <f t="shared" si="0"/>
        <v>2333.33</v>
      </c>
      <c r="Q23" s="30" t="s">
        <v>385</v>
      </c>
      <c r="R23" s="30" t="s">
        <v>238</v>
      </c>
      <c r="S23" s="30" t="s">
        <v>21</v>
      </c>
      <c r="T23" s="30" t="s">
        <v>386</v>
      </c>
      <c r="U23" s="30"/>
      <c r="V23" s="30">
        <f t="shared" si="1"/>
        <v>1</v>
      </c>
      <c r="W23" s="120">
        <f>Tabla2[[#This Row],[Fecha]]-DAY(Tabla2[[#This Row],[Fecha]])+1</f>
        <v>44927</v>
      </c>
      <c r="X23" s="109"/>
    </row>
    <row r="24" spans="1:24" x14ac:dyDescent="0.3">
      <c r="A24">
        <v>1022</v>
      </c>
      <c r="B24" s="108" t="str">
        <f>+""</f>
        <v/>
      </c>
      <c r="C24" s="30">
        <v>2022</v>
      </c>
      <c r="D24" s="93">
        <v>44945</v>
      </c>
      <c r="E24" s="30" t="s">
        <v>368</v>
      </c>
      <c r="F24" s="30" t="s">
        <v>441</v>
      </c>
      <c r="G24" s="30" t="s">
        <v>442</v>
      </c>
      <c r="H24" s="120"/>
      <c r="I24" s="30"/>
      <c r="J24" s="73" t="s">
        <v>322</v>
      </c>
      <c r="K24" s="30">
        <v>1</v>
      </c>
      <c r="L24" s="73" t="s">
        <v>391</v>
      </c>
      <c r="M24" s="74">
        <v>640</v>
      </c>
      <c r="N24" s="74">
        <v>640</v>
      </c>
      <c r="O24" s="97" t="s">
        <v>527</v>
      </c>
      <c r="P24" s="74">
        <f t="shared" si="0"/>
        <v>640</v>
      </c>
      <c r="Q24" s="30" t="s">
        <v>385</v>
      </c>
      <c r="R24" s="30" t="s">
        <v>238</v>
      </c>
      <c r="S24" s="30" t="s">
        <v>21</v>
      </c>
      <c r="T24" s="30" t="s">
        <v>386</v>
      </c>
      <c r="U24" s="30"/>
      <c r="V24" s="30">
        <f t="shared" si="1"/>
        <v>1</v>
      </c>
      <c r="W24" s="120">
        <f>Tabla2[[#This Row],[Fecha]]-DAY(Tabla2[[#This Row],[Fecha]])+1</f>
        <v>44927</v>
      </c>
      <c r="X24" s="109"/>
    </row>
    <row r="25" spans="1:24" x14ac:dyDescent="0.3">
      <c r="A25">
        <v>1023</v>
      </c>
      <c r="B25" s="108" t="str">
        <f>+""</f>
        <v/>
      </c>
      <c r="C25" s="30">
        <v>2022</v>
      </c>
      <c r="D25" s="93">
        <v>44945</v>
      </c>
      <c r="E25" s="30" t="s">
        <v>368</v>
      </c>
      <c r="F25" s="30"/>
      <c r="G25" s="30" t="s">
        <v>443</v>
      </c>
      <c r="H25" s="120"/>
      <c r="I25" s="30"/>
      <c r="J25" s="73" t="s">
        <v>323</v>
      </c>
      <c r="K25" s="30">
        <v>1</v>
      </c>
      <c r="L25" s="73" t="s">
        <v>391</v>
      </c>
      <c r="M25" s="74">
        <v>1920</v>
      </c>
      <c r="N25" s="74">
        <v>1920</v>
      </c>
      <c r="O25" s="97" t="s">
        <v>527</v>
      </c>
      <c r="P25" s="74">
        <f t="shared" si="0"/>
        <v>1920</v>
      </c>
      <c r="Q25" s="30" t="s">
        <v>385</v>
      </c>
      <c r="R25" s="30" t="s">
        <v>238</v>
      </c>
      <c r="S25" s="30" t="s">
        <v>19</v>
      </c>
      <c r="T25" s="30" t="s">
        <v>386</v>
      </c>
      <c r="U25" s="30"/>
      <c r="V25" s="30">
        <f t="shared" si="1"/>
        <v>1</v>
      </c>
      <c r="W25" s="120">
        <f>Tabla2[[#This Row],[Fecha]]-DAY(Tabla2[[#This Row],[Fecha]])+1</f>
        <v>44927</v>
      </c>
      <c r="X25" s="109"/>
    </row>
    <row r="26" spans="1:24" x14ac:dyDescent="0.3">
      <c r="A26">
        <v>1024</v>
      </c>
      <c r="B26" s="108" t="str">
        <f>+""</f>
        <v/>
      </c>
      <c r="C26" s="30">
        <v>2022</v>
      </c>
      <c r="D26" s="93">
        <v>44945</v>
      </c>
      <c r="E26" s="30" t="s">
        <v>368</v>
      </c>
      <c r="F26" s="30"/>
      <c r="G26" s="30" t="s">
        <v>444</v>
      </c>
      <c r="H26" s="120"/>
      <c r="I26" s="30"/>
      <c r="J26" s="73" t="s">
        <v>324</v>
      </c>
      <c r="K26" s="30">
        <v>1</v>
      </c>
      <c r="L26" s="73" t="s">
        <v>391</v>
      </c>
      <c r="M26" s="74">
        <v>2560</v>
      </c>
      <c r="N26" s="74">
        <v>2560</v>
      </c>
      <c r="O26" s="97" t="s">
        <v>527</v>
      </c>
      <c r="P26" s="74">
        <f t="shared" si="0"/>
        <v>2560</v>
      </c>
      <c r="Q26" s="30" t="s">
        <v>385</v>
      </c>
      <c r="R26" s="30" t="s">
        <v>238</v>
      </c>
      <c r="S26" s="30" t="s">
        <v>16</v>
      </c>
      <c r="T26" s="30" t="s">
        <v>386</v>
      </c>
      <c r="U26" s="30"/>
      <c r="V26" s="30">
        <f t="shared" si="1"/>
        <v>1</v>
      </c>
      <c r="W26" s="120">
        <f>Tabla2[[#This Row],[Fecha]]-DAY(Tabla2[[#This Row],[Fecha]])+1</f>
        <v>44927</v>
      </c>
      <c r="X26" s="109"/>
    </row>
    <row r="27" spans="1:24" x14ac:dyDescent="0.3">
      <c r="A27">
        <v>1025</v>
      </c>
      <c r="B27" s="108" t="str">
        <f>+""</f>
        <v/>
      </c>
      <c r="C27" s="30">
        <v>2022</v>
      </c>
      <c r="D27" s="93">
        <v>44945</v>
      </c>
      <c r="E27" s="30" t="s">
        <v>368</v>
      </c>
      <c r="F27" s="30"/>
      <c r="G27" s="30" t="s">
        <v>445</v>
      </c>
      <c r="H27" s="120"/>
      <c r="I27" s="30"/>
      <c r="J27" s="73" t="s">
        <v>325</v>
      </c>
      <c r="K27" s="30">
        <v>1</v>
      </c>
      <c r="L27" s="73" t="s">
        <v>391</v>
      </c>
      <c r="M27" s="74">
        <v>2560</v>
      </c>
      <c r="N27" s="74">
        <v>2560</v>
      </c>
      <c r="O27" s="97" t="s">
        <v>527</v>
      </c>
      <c r="P27" s="74">
        <f t="shared" si="0"/>
        <v>2560</v>
      </c>
      <c r="Q27" s="30" t="s">
        <v>385</v>
      </c>
      <c r="R27" s="30" t="s">
        <v>238</v>
      </c>
      <c r="S27" s="30" t="s">
        <v>19</v>
      </c>
      <c r="T27" s="30" t="s">
        <v>386</v>
      </c>
      <c r="U27" s="30"/>
      <c r="V27" s="30">
        <f t="shared" si="1"/>
        <v>1</v>
      </c>
      <c r="W27" s="120">
        <f>Tabla2[[#This Row],[Fecha]]-DAY(Tabla2[[#This Row],[Fecha]])+1</f>
        <v>44927</v>
      </c>
      <c r="X27" s="109"/>
    </row>
    <row r="28" spans="1:24" x14ac:dyDescent="0.3">
      <c r="A28">
        <v>1026</v>
      </c>
      <c r="B28" s="108" t="s">
        <v>355</v>
      </c>
      <c r="C28" s="30">
        <v>2023</v>
      </c>
      <c r="D28" s="93">
        <v>44945</v>
      </c>
      <c r="E28" s="30" t="s">
        <v>368</v>
      </c>
      <c r="F28" s="30" t="s">
        <v>438</v>
      </c>
      <c r="G28" s="30" t="s">
        <v>439</v>
      </c>
      <c r="H28" s="120">
        <v>44927</v>
      </c>
      <c r="I28" s="30"/>
      <c r="J28" s="73" t="s">
        <v>440</v>
      </c>
      <c r="K28" s="30">
        <v>1</v>
      </c>
      <c r="L28" s="73" t="s">
        <v>391</v>
      </c>
      <c r="M28" s="74">
        <v>1780</v>
      </c>
      <c r="N28" s="74">
        <v>1780</v>
      </c>
      <c r="O28" s="97" t="s">
        <v>527</v>
      </c>
      <c r="P28" s="74">
        <f t="shared" si="0"/>
        <v>1780</v>
      </c>
      <c r="Q28" s="30" t="s">
        <v>385</v>
      </c>
      <c r="R28" s="30" t="s">
        <v>238</v>
      </c>
      <c r="S28" s="30" t="s">
        <v>15</v>
      </c>
      <c r="T28" s="30" t="s">
        <v>386</v>
      </c>
      <c r="U28" s="30"/>
      <c r="V28" s="30">
        <f t="shared" si="1"/>
        <v>1</v>
      </c>
      <c r="W28" s="120">
        <f>Tabla2[[#This Row],[Fecha]]-DAY(Tabla2[[#This Row],[Fecha]])+1</f>
        <v>44927</v>
      </c>
      <c r="X28" s="109"/>
    </row>
    <row r="29" spans="1:24" x14ac:dyDescent="0.3">
      <c r="A29">
        <v>1027</v>
      </c>
      <c r="B29" s="108" t="str">
        <f>+""</f>
        <v/>
      </c>
      <c r="C29" s="30">
        <v>2022</v>
      </c>
      <c r="D29" s="93">
        <v>44970</v>
      </c>
      <c r="E29" s="30" t="s">
        <v>368</v>
      </c>
      <c r="F29" s="30" t="s">
        <v>414</v>
      </c>
      <c r="G29" s="30" t="s">
        <v>449</v>
      </c>
      <c r="H29" s="120"/>
      <c r="I29" s="30"/>
      <c r="J29" s="73" t="s">
        <v>416</v>
      </c>
      <c r="K29" s="30">
        <v>4</v>
      </c>
      <c r="L29" s="73" t="s">
        <v>450</v>
      </c>
      <c r="M29" s="74">
        <v>2496.67</v>
      </c>
      <c r="N29" s="74">
        <v>10700</v>
      </c>
      <c r="O29" s="97" t="s">
        <v>527</v>
      </c>
      <c r="P29" s="74">
        <f t="shared" si="0"/>
        <v>2496.67</v>
      </c>
      <c r="Q29" s="30" t="s">
        <v>385</v>
      </c>
      <c r="R29" s="30" t="s">
        <v>238</v>
      </c>
      <c r="S29" s="30" t="s">
        <v>19</v>
      </c>
      <c r="T29" s="30" t="s">
        <v>386</v>
      </c>
      <c r="U29" s="30"/>
      <c r="V29" s="30">
        <f t="shared" si="1"/>
        <v>2</v>
      </c>
      <c r="W29" s="120">
        <f>Tabla2[[#This Row],[Fecha]]-DAY(Tabla2[[#This Row],[Fecha]])+1</f>
        <v>44958</v>
      </c>
      <c r="X29" s="109"/>
    </row>
    <row r="30" spans="1:24" x14ac:dyDescent="0.3">
      <c r="A30">
        <v>1028</v>
      </c>
      <c r="B30" s="108" t="str">
        <f>+""</f>
        <v/>
      </c>
      <c r="C30" s="30">
        <v>2023</v>
      </c>
      <c r="D30" s="93">
        <v>44970</v>
      </c>
      <c r="E30" s="30" t="s">
        <v>368</v>
      </c>
      <c r="F30" s="30"/>
      <c r="G30" s="30" t="s">
        <v>446</v>
      </c>
      <c r="H30" s="120"/>
      <c r="I30" s="30"/>
      <c r="J30" s="73" t="s">
        <v>447</v>
      </c>
      <c r="K30" s="30">
        <v>1</v>
      </c>
      <c r="L30" s="73" t="s">
        <v>448</v>
      </c>
      <c r="M30" s="74">
        <v>5100</v>
      </c>
      <c r="N30" s="74">
        <v>61200</v>
      </c>
      <c r="O30" s="97" t="s">
        <v>527</v>
      </c>
      <c r="P30" s="74">
        <f t="shared" si="0"/>
        <v>5100</v>
      </c>
      <c r="Q30" s="30" t="s">
        <v>321</v>
      </c>
      <c r="R30" s="30" t="s">
        <v>238</v>
      </c>
      <c r="S30" s="30" t="s">
        <v>243</v>
      </c>
      <c r="T30" s="30" t="s">
        <v>386</v>
      </c>
      <c r="U30" s="30"/>
      <c r="V30" s="30">
        <f t="shared" si="1"/>
        <v>2</v>
      </c>
      <c r="W30" s="120">
        <f>Tabla2[[#This Row],[Fecha]]-DAY(Tabla2[[#This Row],[Fecha]])+1</f>
        <v>44958</v>
      </c>
      <c r="X30" s="109"/>
    </row>
    <row r="31" spans="1:24" x14ac:dyDescent="0.3">
      <c r="A31">
        <v>1029</v>
      </c>
      <c r="B31" s="108" t="str">
        <f>+""</f>
        <v/>
      </c>
      <c r="C31" s="30">
        <v>2022</v>
      </c>
      <c r="D31" s="93">
        <v>44970</v>
      </c>
      <c r="E31" s="30" t="s">
        <v>368</v>
      </c>
      <c r="F31" s="30" t="s">
        <v>427</v>
      </c>
      <c r="G31" s="30" t="s">
        <v>451</v>
      </c>
      <c r="H31" s="120"/>
      <c r="I31" s="30"/>
      <c r="J31" s="73" t="s">
        <v>429</v>
      </c>
      <c r="K31" s="30">
        <v>3</v>
      </c>
      <c r="L31" s="73" t="s">
        <v>436</v>
      </c>
      <c r="M31" s="74">
        <v>2333.33</v>
      </c>
      <c r="N31" s="74">
        <v>10000</v>
      </c>
      <c r="O31" s="97" t="s">
        <v>527</v>
      </c>
      <c r="P31" s="74">
        <f t="shared" si="0"/>
        <v>2333.33</v>
      </c>
      <c r="Q31" s="30" t="s">
        <v>385</v>
      </c>
      <c r="R31" s="30" t="s">
        <v>238</v>
      </c>
      <c r="S31" s="30" t="s">
        <v>21</v>
      </c>
      <c r="T31" s="30" t="s">
        <v>386</v>
      </c>
      <c r="U31" s="30"/>
      <c r="V31" s="30">
        <f t="shared" si="1"/>
        <v>2</v>
      </c>
      <c r="W31" s="120">
        <f>Tabla2[[#This Row],[Fecha]]-DAY(Tabla2[[#This Row],[Fecha]])+1</f>
        <v>44958</v>
      </c>
      <c r="X31" s="109"/>
    </row>
    <row r="32" spans="1:24" x14ac:dyDescent="0.3">
      <c r="A32">
        <v>1030</v>
      </c>
      <c r="B32" s="108" t="str">
        <f>+""</f>
        <v/>
      </c>
      <c r="C32" s="30">
        <v>2022</v>
      </c>
      <c r="D32" s="93">
        <v>44970</v>
      </c>
      <c r="E32" s="30" t="s">
        <v>368</v>
      </c>
      <c r="F32" s="30" t="s">
        <v>452</v>
      </c>
      <c r="G32" s="30" t="s">
        <v>453</v>
      </c>
      <c r="H32" s="120"/>
      <c r="I32" s="30"/>
      <c r="J32" s="73" t="s">
        <v>454</v>
      </c>
      <c r="K32" s="30">
        <v>1</v>
      </c>
      <c r="L32" s="73" t="s">
        <v>417</v>
      </c>
      <c r="M32" s="74">
        <f>13300*0.3</f>
        <v>3990</v>
      </c>
      <c r="N32" s="74">
        <v>13300</v>
      </c>
      <c r="O32" s="97" t="s">
        <v>527</v>
      </c>
      <c r="P32" s="74">
        <f t="shared" si="0"/>
        <v>3990</v>
      </c>
      <c r="Q32" s="30" t="s">
        <v>385</v>
      </c>
      <c r="R32" s="30" t="s">
        <v>238</v>
      </c>
      <c r="S32" s="30" t="s">
        <v>16</v>
      </c>
      <c r="T32" s="30" t="s">
        <v>386</v>
      </c>
      <c r="U32" s="30"/>
      <c r="V32" s="30">
        <f t="shared" si="1"/>
        <v>2</v>
      </c>
      <c r="W32" s="120">
        <f>Tabla2[[#This Row],[Fecha]]-DAY(Tabla2[[#This Row],[Fecha]])+1</f>
        <v>44958</v>
      </c>
      <c r="X32" s="109"/>
    </row>
    <row r="33" spans="1:24" x14ac:dyDescent="0.3">
      <c r="A33">
        <v>1031</v>
      </c>
      <c r="B33" s="77" t="s">
        <v>346</v>
      </c>
      <c r="C33" s="30">
        <v>2023</v>
      </c>
      <c r="D33" s="93">
        <v>44974</v>
      </c>
      <c r="E33" s="30" t="s">
        <v>381</v>
      </c>
      <c r="F33" s="30" t="s">
        <v>455</v>
      </c>
      <c r="G33" s="30" t="s">
        <v>456</v>
      </c>
      <c r="H33" s="120">
        <v>44958</v>
      </c>
      <c r="I33" s="30"/>
      <c r="J33" s="73" t="s">
        <v>326</v>
      </c>
      <c r="K33" s="30">
        <v>1</v>
      </c>
      <c r="L33" s="73" t="s">
        <v>391</v>
      </c>
      <c r="M33" s="74">
        <v>1200</v>
      </c>
      <c r="N33" s="74">
        <v>1200</v>
      </c>
      <c r="O33" s="97" t="s">
        <v>527</v>
      </c>
      <c r="P33" s="74">
        <f t="shared" si="0"/>
        <v>1200</v>
      </c>
      <c r="Q33" s="30" t="s">
        <v>385</v>
      </c>
      <c r="R33" s="30" t="s">
        <v>238</v>
      </c>
      <c r="S33" s="30" t="s">
        <v>15</v>
      </c>
      <c r="T33" s="30" t="s">
        <v>386</v>
      </c>
      <c r="U33" s="30"/>
      <c r="V33" s="30">
        <f t="shared" si="1"/>
        <v>2</v>
      </c>
      <c r="W33" s="120">
        <f>Tabla2[[#This Row],[Fecha]]-DAY(Tabla2[[#This Row],[Fecha]])+1</f>
        <v>44958</v>
      </c>
      <c r="X33" s="109"/>
    </row>
    <row r="34" spans="1:24" x14ac:dyDescent="0.3">
      <c r="A34">
        <v>1032</v>
      </c>
      <c r="B34" s="108" t="str">
        <f>+""</f>
        <v/>
      </c>
      <c r="C34" s="30">
        <v>2023</v>
      </c>
      <c r="D34" s="93">
        <v>44985</v>
      </c>
      <c r="E34" s="30" t="s">
        <v>381</v>
      </c>
      <c r="F34" s="30"/>
      <c r="G34" s="30" t="s">
        <v>457</v>
      </c>
      <c r="H34" s="120"/>
      <c r="I34" s="30" t="s">
        <v>458</v>
      </c>
      <c r="J34" s="73" t="s">
        <v>459</v>
      </c>
      <c r="K34" s="30">
        <v>1</v>
      </c>
      <c r="L34" s="73" t="s">
        <v>460</v>
      </c>
      <c r="M34" s="74">
        <v>11000</v>
      </c>
      <c r="N34" s="74">
        <v>22000</v>
      </c>
      <c r="O34" s="97" t="s">
        <v>527</v>
      </c>
      <c r="P34" s="74">
        <f t="shared" si="0"/>
        <v>11000</v>
      </c>
      <c r="Q34" s="30" t="s">
        <v>321</v>
      </c>
      <c r="R34" s="30" t="s">
        <v>238</v>
      </c>
      <c r="S34" s="30" t="s">
        <v>243</v>
      </c>
      <c r="T34" s="30" t="s">
        <v>386</v>
      </c>
      <c r="U34" s="30"/>
      <c r="V34" s="30">
        <f t="shared" si="1"/>
        <v>2</v>
      </c>
      <c r="W34" s="120">
        <f>Tabla2[[#This Row],[Fecha]]-DAY(Tabla2[[#This Row],[Fecha]])+1</f>
        <v>44958</v>
      </c>
      <c r="X34" s="109"/>
    </row>
    <row r="35" spans="1:24" x14ac:dyDescent="0.3">
      <c r="A35">
        <v>1033</v>
      </c>
      <c r="B35" s="108" t="str">
        <f>+""</f>
        <v/>
      </c>
      <c r="C35" s="30">
        <v>2023</v>
      </c>
      <c r="D35" s="93">
        <v>45001</v>
      </c>
      <c r="E35" s="30" t="s">
        <v>368</v>
      </c>
      <c r="F35" s="30"/>
      <c r="G35" s="30" t="s">
        <v>461</v>
      </c>
      <c r="H35" s="120"/>
      <c r="I35" s="30"/>
      <c r="J35" s="73" t="s">
        <v>447</v>
      </c>
      <c r="K35" s="30"/>
      <c r="L35" s="73" t="s">
        <v>462</v>
      </c>
      <c r="M35" s="74">
        <v>5100</v>
      </c>
      <c r="N35" s="74">
        <v>61200</v>
      </c>
      <c r="O35" s="97" t="s">
        <v>527</v>
      </c>
      <c r="P35" s="74">
        <f t="shared" ref="P35:P66" si="2">IF(O35="SOL",M35,M35*$J$1)</f>
        <v>5100</v>
      </c>
      <c r="Q35" s="30" t="s">
        <v>321</v>
      </c>
      <c r="R35" s="30" t="s">
        <v>238</v>
      </c>
      <c r="S35" s="30" t="s">
        <v>243</v>
      </c>
      <c r="T35" s="30" t="s">
        <v>386</v>
      </c>
      <c r="U35" s="30"/>
      <c r="V35" s="30">
        <f t="shared" ref="V35:V66" si="3">IF(T35="Cancelado",MONTH(D35),"")</f>
        <v>3</v>
      </c>
      <c r="W35" s="120">
        <f>Tabla2[[#This Row],[Fecha]]-DAY(Tabla2[[#This Row],[Fecha]])+1</f>
        <v>44986</v>
      </c>
      <c r="X35" s="109"/>
    </row>
    <row r="36" spans="1:24" x14ac:dyDescent="0.3">
      <c r="A36">
        <v>1034</v>
      </c>
      <c r="B36" s="108" t="str">
        <f>+""</f>
        <v/>
      </c>
      <c r="C36" s="30">
        <v>2022</v>
      </c>
      <c r="D36" s="93">
        <v>45005</v>
      </c>
      <c r="E36" s="30" t="s">
        <v>381</v>
      </c>
      <c r="F36" s="30"/>
      <c r="G36" s="30" t="s">
        <v>464</v>
      </c>
      <c r="H36" s="120"/>
      <c r="I36" s="30"/>
      <c r="J36" s="73" t="s">
        <v>327</v>
      </c>
      <c r="K36" s="30">
        <v>1</v>
      </c>
      <c r="L36" s="73" t="s">
        <v>391</v>
      </c>
      <c r="M36" s="74">
        <v>240</v>
      </c>
      <c r="N36" s="74">
        <v>240</v>
      </c>
      <c r="O36" s="97" t="s">
        <v>527</v>
      </c>
      <c r="P36" s="74">
        <f t="shared" si="2"/>
        <v>240</v>
      </c>
      <c r="Q36" s="30" t="s">
        <v>385</v>
      </c>
      <c r="R36" s="30" t="s">
        <v>238</v>
      </c>
      <c r="S36" s="30" t="s">
        <v>27</v>
      </c>
      <c r="T36" s="30" t="s">
        <v>386</v>
      </c>
      <c r="U36" s="30"/>
      <c r="V36" s="30">
        <f t="shared" si="3"/>
        <v>3</v>
      </c>
      <c r="W36" s="120">
        <f>Tabla2[[#This Row],[Fecha]]-DAY(Tabla2[[#This Row],[Fecha]])+1</f>
        <v>44986</v>
      </c>
      <c r="X36" s="109"/>
    </row>
    <row r="37" spans="1:24" x14ac:dyDescent="0.3">
      <c r="A37">
        <v>1035</v>
      </c>
      <c r="B37" s="108" t="str">
        <f>+""</f>
        <v/>
      </c>
      <c r="C37" s="30">
        <v>2023</v>
      </c>
      <c r="D37" s="93">
        <v>45035</v>
      </c>
      <c r="E37" s="30" t="s">
        <v>368</v>
      </c>
      <c r="F37" s="30"/>
      <c r="G37" s="30" t="s">
        <v>465</v>
      </c>
      <c r="H37" s="120"/>
      <c r="I37" s="30"/>
      <c r="J37" s="73" t="s">
        <v>447</v>
      </c>
      <c r="K37" s="30"/>
      <c r="L37" s="73" t="s">
        <v>466</v>
      </c>
      <c r="M37" s="74">
        <v>5100</v>
      </c>
      <c r="N37" s="74">
        <v>61200</v>
      </c>
      <c r="O37" s="97" t="s">
        <v>527</v>
      </c>
      <c r="P37" s="74">
        <f t="shared" si="2"/>
        <v>5100</v>
      </c>
      <c r="Q37" s="30" t="s">
        <v>321</v>
      </c>
      <c r="R37" s="30" t="s">
        <v>238</v>
      </c>
      <c r="S37" s="30" t="s">
        <v>243</v>
      </c>
      <c r="T37" s="30" t="s">
        <v>386</v>
      </c>
      <c r="U37" s="30"/>
      <c r="V37" s="30">
        <f t="shared" si="3"/>
        <v>4</v>
      </c>
      <c r="W37" s="120">
        <f>Tabla2[[#This Row],[Fecha]]-DAY(Tabla2[[#This Row],[Fecha]])+1</f>
        <v>45017</v>
      </c>
      <c r="X37" s="109"/>
    </row>
    <row r="38" spans="1:24" x14ac:dyDescent="0.3">
      <c r="A38">
        <v>1036</v>
      </c>
      <c r="B38" s="77" t="s">
        <v>337</v>
      </c>
      <c r="C38" s="30">
        <v>2023</v>
      </c>
      <c r="D38" s="93">
        <v>45035</v>
      </c>
      <c r="E38" s="30" t="s">
        <v>368</v>
      </c>
      <c r="F38" s="30" t="s">
        <v>467</v>
      </c>
      <c r="G38" s="30" t="s">
        <v>468</v>
      </c>
      <c r="H38" s="120">
        <v>44986</v>
      </c>
      <c r="I38" s="30" t="s">
        <v>469</v>
      </c>
      <c r="J38" s="73" t="s">
        <v>470</v>
      </c>
      <c r="K38" s="30">
        <v>1</v>
      </c>
      <c r="L38" s="73" t="s">
        <v>471</v>
      </c>
      <c r="M38" s="74">
        <f>N38*0.3</f>
        <v>11700</v>
      </c>
      <c r="N38" s="74">
        <v>39000</v>
      </c>
      <c r="O38" s="97" t="s">
        <v>527</v>
      </c>
      <c r="P38" s="74">
        <f t="shared" si="2"/>
        <v>11700</v>
      </c>
      <c r="Q38" s="30" t="s">
        <v>385</v>
      </c>
      <c r="R38" s="30" t="s">
        <v>238</v>
      </c>
      <c r="S38" s="30" t="s">
        <v>21</v>
      </c>
      <c r="T38" s="30" t="s">
        <v>386</v>
      </c>
      <c r="U38" s="30"/>
      <c r="V38" s="30">
        <f t="shared" si="3"/>
        <v>4</v>
      </c>
      <c r="W38" s="120">
        <f>Tabla2[[#This Row],[Fecha]]-DAY(Tabla2[[#This Row],[Fecha]])+1</f>
        <v>45017</v>
      </c>
      <c r="X38" s="109" t="s">
        <v>523</v>
      </c>
    </row>
    <row r="39" spans="1:24" x14ac:dyDescent="0.3">
      <c r="A39">
        <v>1037</v>
      </c>
      <c r="B39" s="108" t="s">
        <v>353</v>
      </c>
      <c r="C39" s="30">
        <v>2023</v>
      </c>
      <c r="D39" s="93">
        <v>45061</v>
      </c>
      <c r="E39" s="30" t="s">
        <v>472</v>
      </c>
      <c r="F39" s="30" t="s">
        <v>473</v>
      </c>
      <c r="G39" s="30" t="s">
        <v>474</v>
      </c>
      <c r="H39" s="120">
        <v>45017</v>
      </c>
      <c r="I39" s="30"/>
      <c r="J39" s="73" t="s">
        <v>475</v>
      </c>
      <c r="K39" s="30">
        <v>1</v>
      </c>
      <c r="L39" s="73" t="s">
        <v>391</v>
      </c>
      <c r="M39" s="94">
        <v>250</v>
      </c>
      <c r="N39" s="94">
        <v>250</v>
      </c>
      <c r="O39" s="97" t="s">
        <v>528</v>
      </c>
      <c r="P39" s="74">
        <f t="shared" si="2"/>
        <v>925</v>
      </c>
      <c r="Q39" s="30" t="s">
        <v>385</v>
      </c>
      <c r="R39" s="30" t="s">
        <v>238</v>
      </c>
      <c r="S39" s="30" t="s">
        <v>110</v>
      </c>
      <c r="T39" s="30" t="s">
        <v>386</v>
      </c>
      <c r="U39" s="30"/>
      <c r="V39" s="30">
        <f t="shared" si="3"/>
        <v>5</v>
      </c>
      <c r="W39" s="120">
        <f>Tabla2[[#This Row],[Fecha]]-DAY(Tabla2[[#This Row],[Fecha]])+1</f>
        <v>45047</v>
      </c>
      <c r="X39" s="109"/>
    </row>
    <row r="40" spans="1:24" x14ac:dyDescent="0.3">
      <c r="A40">
        <v>1038</v>
      </c>
      <c r="B40" s="108" t="str">
        <f>+""</f>
        <v/>
      </c>
      <c r="C40" s="30">
        <v>2022</v>
      </c>
      <c r="D40" s="93">
        <v>45064</v>
      </c>
      <c r="E40" s="30" t="s">
        <v>368</v>
      </c>
      <c r="F40" s="30" t="s">
        <v>452</v>
      </c>
      <c r="G40" s="30" t="s">
        <v>476</v>
      </c>
      <c r="H40" s="120"/>
      <c r="I40" s="30"/>
      <c r="J40" s="73" t="s">
        <v>454</v>
      </c>
      <c r="K40" s="30">
        <v>2</v>
      </c>
      <c r="L40" s="73" t="s">
        <v>423</v>
      </c>
      <c r="M40" s="74">
        <f>13300*0.7/3</f>
        <v>3103.3333333333335</v>
      </c>
      <c r="N40" s="74">
        <v>13300</v>
      </c>
      <c r="O40" s="97" t="s">
        <v>527</v>
      </c>
      <c r="P40" s="74">
        <f t="shared" si="2"/>
        <v>3103.3333333333335</v>
      </c>
      <c r="Q40" s="30" t="s">
        <v>385</v>
      </c>
      <c r="R40" s="30" t="s">
        <v>238</v>
      </c>
      <c r="S40" s="30" t="s">
        <v>16</v>
      </c>
      <c r="T40" s="30" t="s">
        <v>386</v>
      </c>
      <c r="U40" s="30"/>
      <c r="V40" s="30">
        <f t="shared" si="3"/>
        <v>5</v>
      </c>
      <c r="W40" s="120">
        <f>Tabla2[[#This Row],[Fecha]]-DAY(Tabla2[[#This Row],[Fecha]])+1</f>
        <v>45047</v>
      </c>
      <c r="X40" s="109"/>
    </row>
    <row r="41" spans="1:24" x14ac:dyDescent="0.3">
      <c r="A41">
        <v>1039</v>
      </c>
      <c r="B41" s="108" t="str">
        <f>+""</f>
        <v/>
      </c>
      <c r="C41" s="30">
        <v>2023</v>
      </c>
      <c r="D41" s="93">
        <v>45064</v>
      </c>
      <c r="E41" s="30" t="s">
        <v>368</v>
      </c>
      <c r="F41" s="30"/>
      <c r="G41" s="30" t="s">
        <v>477</v>
      </c>
      <c r="H41" s="120"/>
      <c r="I41" s="30"/>
      <c r="J41" s="73" t="s">
        <v>447</v>
      </c>
      <c r="K41" s="30"/>
      <c r="L41" s="73" t="s">
        <v>478</v>
      </c>
      <c r="M41" s="74">
        <v>5100</v>
      </c>
      <c r="N41" s="74">
        <v>61200</v>
      </c>
      <c r="O41" s="97" t="s">
        <v>527</v>
      </c>
      <c r="P41" s="74">
        <f t="shared" si="2"/>
        <v>5100</v>
      </c>
      <c r="Q41" s="30" t="s">
        <v>321</v>
      </c>
      <c r="R41" s="30" t="s">
        <v>238</v>
      </c>
      <c r="S41" s="30" t="s">
        <v>243</v>
      </c>
      <c r="T41" s="30" t="s">
        <v>386</v>
      </c>
      <c r="U41" s="30"/>
      <c r="V41" s="30">
        <f t="shared" si="3"/>
        <v>5</v>
      </c>
      <c r="W41" s="120">
        <f>Tabla2[[#This Row],[Fecha]]-DAY(Tabla2[[#This Row],[Fecha]])+1</f>
        <v>45047</v>
      </c>
      <c r="X41" s="109"/>
    </row>
    <row r="42" spans="1:24" x14ac:dyDescent="0.3">
      <c r="A42">
        <v>1040</v>
      </c>
      <c r="B42" s="108" t="s">
        <v>354</v>
      </c>
      <c r="C42" s="30">
        <v>2023</v>
      </c>
      <c r="D42" s="93">
        <v>45064</v>
      </c>
      <c r="E42" s="30" t="s">
        <v>368</v>
      </c>
      <c r="F42" s="30" t="s">
        <v>479</v>
      </c>
      <c r="G42" s="30" t="s">
        <v>480</v>
      </c>
      <c r="H42" s="120">
        <v>44986</v>
      </c>
      <c r="I42" s="30" t="s">
        <v>481</v>
      </c>
      <c r="J42" s="73" t="s">
        <v>308</v>
      </c>
      <c r="K42" s="30">
        <v>1</v>
      </c>
      <c r="L42" s="73" t="s">
        <v>391</v>
      </c>
      <c r="M42" s="74">
        <v>2420</v>
      </c>
      <c r="N42" s="74">
        <v>2420</v>
      </c>
      <c r="O42" s="97" t="s">
        <v>527</v>
      </c>
      <c r="P42" s="74">
        <f t="shared" si="2"/>
        <v>2420</v>
      </c>
      <c r="Q42" s="30" t="s">
        <v>385</v>
      </c>
      <c r="R42" s="30" t="s">
        <v>238</v>
      </c>
      <c r="S42" s="30" t="s">
        <v>243</v>
      </c>
      <c r="T42" s="30" t="s">
        <v>386</v>
      </c>
      <c r="U42" s="30"/>
      <c r="V42" s="30">
        <f t="shared" si="3"/>
        <v>5</v>
      </c>
      <c r="W42" s="120">
        <f>Tabla2[[#This Row],[Fecha]]-DAY(Tabla2[[#This Row],[Fecha]])+1</f>
        <v>45047</v>
      </c>
      <c r="X42" s="109"/>
    </row>
    <row r="43" spans="1:24" x14ac:dyDescent="0.3">
      <c r="A43">
        <v>1041</v>
      </c>
      <c r="B43" s="77" t="s">
        <v>349</v>
      </c>
      <c r="C43" s="30">
        <v>2023</v>
      </c>
      <c r="D43" s="93">
        <v>45064</v>
      </c>
      <c r="E43" s="30" t="s">
        <v>368</v>
      </c>
      <c r="F43" s="30" t="s">
        <v>482</v>
      </c>
      <c r="G43" s="30" t="s">
        <v>483</v>
      </c>
      <c r="H43" s="120">
        <v>44986</v>
      </c>
      <c r="I43" s="30" t="s">
        <v>484</v>
      </c>
      <c r="J43" s="73" t="s">
        <v>328</v>
      </c>
      <c r="K43" s="30">
        <v>1</v>
      </c>
      <c r="L43" s="73" t="s">
        <v>391</v>
      </c>
      <c r="M43" s="166">
        <v>3060</v>
      </c>
      <c r="N43" s="166">
        <v>3060</v>
      </c>
      <c r="O43" s="97" t="s">
        <v>527</v>
      </c>
      <c r="P43" s="74">
        <f t="shared" si="2"/>
        <v>3060</v>
      </c>
      <c r="Q43" s="30" t="s">
        <v>385</v>
      </c>
      <c r="R43" s="30" t="s">
        <v>238</v>
      </c>
      <c r="S43" s="30" t="s">
        <v>15</v>
      </c>
      <c r="T43" s="30" t="s">
        <v>386</v>
      </c>
      <c r="U43" s="30"/>
      <c r="V43" s="30">
        <f t="shared" si="3"/>
        <v>5</v>
      </c>
      <c r="W43" s="120">
        <f>Tabla2[[#This Row],[Fecha]]-DAY(Tabla2[[#This Row],[Fecha]])+1</f>
        <v>45047</v>
      </c>
      <c r="X43" s="109"/>
    </row>
    <row r="44" spans="1:24" x14ac:dyDescent="0.3">
      <c r="A44">
        <v>1042</v>
      </c>
      <c r="B44" s="108" t="str">
        <f>+""</f>
        <v/>
      </c>
      <c r="C44" s="30">
        <v>2022</v>
      </c>
      <c r="D44" s="93">
        <v>45096</v>
      </c>
      <c r="E44" s="30" t="s">
        <v>368</v>
      </c>
      <c r="F44" s="30" t="s">
        <v>452</v>
      </c>
      <c r="G44" s="30" t="s">
        <v>485</v>
      </c>
      <c r="H44" s="120"/>
      <c r="I44" s="30"/>
      <c r="J44" s="73" t="s">
        <v>454</v>
      </c>
      <c r="K44" s="30">
        <v>3</v>
      </c>
      <c r="L44" s="73" t="s">
        <v>436</v>
      </c>
      <c r="M44" s="74">
        <f>13300*0.7/3</f>
        <v>3103.3333333333335</v>
      </c>
      <c r="N44" s="74">
        <v>13300</v>
      </c>
      <c r="O44" s="97" t="s">
        <v>527</v>
      </c>
      <c r="P44" s="74">
        <f t="shared" si="2"/>
        <v>3103.3333333333335</v>
      </c>
      <c r="Q44" s="30" t="s">
        <v>385</v>
      </c>
      <c r="R44" s="30" t="s">
        <v>238</v>
      </c>
      <c r="S44" s="30" t="s">
        <v>16</v>
      </c>
      <c r="T44" s="30" t="s">
        <v>386</v>
      </c>
      <c r="U44" s="30"/>
      <c r="V44" s="30">
        <f t="shared" si="3"/>
        <v>6</v>
      </c>
      <c r="W44" s="120">
        <f>Tabla2[[#This Row],[Fecha]]-DAY(Tabla2[[#This Row],[Fecha]])+1</f>
        <v>45078</v>
      </c>
      <c r="X44" s="109"/>
    </row>
    <row r="45" spans="1:24" x14ac:dyDescent="0.3">
      <c r="A45">
        <v>1043</v>
      </c>
      <c r="B45" s="108" t="str">
        <f>+""</f>
        <v/>
      </c>
      <c r="C45" s="30">
        <v>2022</v>
      </c>
      <c r="D45" s="93">
        <v>45096</v>
      </c>
      <c r="E45" s="30" t="s">
        <v>368</v>
      </c>
      <c r="F45" s="30" t="s">
        <v>452</v>
      </c>
      <c r="G45" s="30" t="s">
        <v>485</v>
      </c>
      <c r="H45" s="120"/>
      <c r="I45" s="30"/>
      <c r="J45" s="73" t="s">
        <v>454</v>
      </c>
      <c r="K45" s="30">
        <v>4</v>
      </c>
      <c r="L45" s="73" t="s">
        <v>450</v>
      </c>
      <c r="M45" s="74">
        <f>13300*0.7/3</f>
        <v>3103.3333333333335</v>
      </c>
      <c r="N45" s="74">
        <v>13300</v>
      </c>
      <c r="O45" s="97" t="s">
        <v>527</v>
      </c>
      <c r="P45" s="74">
        <f t="shared" si="2"/>
        <v>3103.3333333333335</v>
      </c>
      <c r="Q45" s="30" t="s">
        <v>385</v>
      </c>
      <c r="R45" s="30" t="s">
        <v>238</v>
      </c>
      <c r="S45" s="30" t="s">
        <v>16</v>
      </c>
      <c r="T45" s="30" t="s">
        <v>386</v>
      </c>
      <c r="U45" s="30"/>
      <c r="V45" s="30">
        <f t="shared" si="3"/>
        <v>6</v>
      </c>
      <c r="W45" s="120">
        <f>Tabla2[[#This Row],[Fecha]]-DAY(Tabla2[[#This Row],[Fecha]])+1</f>
        <v>45078</v>
      </c>
      <c r="X45" s="109"/>
    </row>
    <row r="46" spans="1:24" x14ac:dyDescent="0.3">
      <c r="A46">
        <v>1044</v>
      </c>
      <c r="B46" s="108" t="str">
        <f>+""</f>
        <v/>
      </c>
      <c r="C46" s="30">
        <v>2023</v>
      </c>
      <c r="D46" s="93">
        <v>45096</v>
      </c>
      <c r="E46" s="30" t="s">
        <v>368</v>
      </c>
      <c r="F46" s="30"/>
      <c r="G46" s="30" t="s">
        <v>486</v>
      </c>
      <c r="H46" s="120"/>
      <c r="I46" s="30"/>
      <c r="J46" s="73" t="s">
        <v>447</v>
      </c>
      <c r="K46" s="30"/>
      <c r="L46" s="73" t="s">
        <v>487</v>
      </c>
      <c r="M46" s="74">
        <v>5100</v>
      </c>
      <c r="N46" s="74">
        <v>61200</v>
      </c>
      <c r="O46" s="97" t="s">
        <v>527</v>
      </c>
      <c r="P46" s="74">
        <f t="shared" si="2"/>
        <v>5100</v>
      </c>
      <c r="Q46" s="30" t="s">
        <v>321</v>
      </c>
      <c r="R46" s="30" t="s">
        <v>238</v>
      </c>
      <c r="S46" s="30" t="s">
        <v>243</v>
      </c>
      <c r="T46" s="30" t="s">
        <v>386</v>
      </c>
      <c r="U46" s="30"/>
      <c r="V46" s="30">
        <f t="shared" si="3"/>
        <v>6</v>
      </c>
      <c r="W46" s="120">
        <f>Tabla2[[#This Row],[Fecha]]-DAY(Tabla2[[#This Row],[Fecha]])+1</f>
        <v>45078</v>
      </c>
      <c r="X46" s="109"/>
    </row>
    <row r="47" spans="1:24" x14ac:dyDescent="0.3">
      <c r="A47">
        <v>1045</v>
      </c>
      <c r="B47" s="108" t="s">
        <v>338</v>
      </c>
      <c r="C47" s="30">
        <v>2023</v>
      </c>
      <c r="D47" s="93">
        <v>45096</v>
      </c>
      <c r="E47" s="30" t="s">
        <v>368</v>
      </c>
      <c r="F47" s="30"/>
      <c r="G47" s="30" t="s">
        <v>488</v>
      </c>
      <c r="H47" s="120">
        <v>45047</v>
      </c>
      <c r="I47" s="30" t="s">
        <v>583</v>
      </c>
      <c r="J47" s="73" t="s">
        <v>489</v>
      </c>
      <c r="K47" s="30">
        <v>1</v>
      </c>
      <c r="L47" s="73" t="s">
        <v>490</v>
      </c>
      <c r="M47" s="166">
        <v>3400</v>
      </c>
      <c r="N47" s="166">
        <v>8000</v>
      </c>
      <c r="O47" s="97" t="s">
        <v>527</v>
      </c>
      <c r="P47" s="74">
        <f t="shared" si="2"/>
        <v>3400</v>
      </c>
      <c r="Q47" s="30" t="s">
        <v>385</v>
      </c>
      <c r="R47" s="30" t="s">
        <v>238</v>
      </c>
      <c r="S47" s="30" t="s">
        <v>21</v>
      </c>
      <c r="T47" s="30" t="s">
        <v>386</v>
      </c>
      <c r="U47" s="30"/>
      <c r="V47" s="30">
        <f t="shared" si="3"/>
        <v>6</v>
      </c>
      <c r="W47" s="120">
        <f>Tabla2[[#This Row],[Fecha]]-DAY(Tabla2[[#This Row],[Fecha]])+1</f>
        <v>45078</v>
      </c>
      <c r="X47" s="109"/>
    </row>
    <row r="48" spans="1:24" x14ac:dyDescent="0.3">
      <c r="A48">
        <v>1046</v>
      </c>
      <c r="B48" s="77" t="s">
        <v>337</v>
      </c>
      <c r="C48" s="30">
        <v>2023</v>
      </c>
      <c r="D48" s="93">
        <v>45098</v>
      </c>
      <c r="E48" s="30" t="s">
        <v>368</v>
      </c>
      <c r="F48" s="30" t="s">
        <v>467</v>
      </c>
      <c r="G48" s="30" t="s">
        <v>491</v>
      </c>
      <c r="H48" s="120">
        <v>44986</v>
      </c>
      <c r="I48" s="30" t="s">
        <v>469</v>
      </c>
      <c r="J48" s="73" t="s">
        <v>470</v>
      </c>
      <c r="K48" s="30">
        <v>2</v>
      </c>
      <c r="L48" s="73" t="s">
        <v>492</v>
      </c>
      <c r="M48" s="74">
        <f>N48*0.7/5</f>
        <v>5460</v>
      </c>
      <c r="N48" s="74">
        <v>39000</v>
      </c>
      <c r="O48" s="97" t="s">
        <v>527</v>
      </c>
      <c r="P48" s="74">
        <f t="shared" si="2"/>
        <v>5460</v>
      </c>
      <c r="Q48" s="30" t="s">
        <v>385</v>
      </c>
      <c r="R48" s="30" t="s">
        <v>238</v>
      </c>
      <c r="S48" s="30" t="s">
        <v>21</v>
      </c>
      <c r="T48" s="30" t="s">
        <v>386</v>
      </c>
      <c r="U48" s="30"/>
      <c r="V48" s="30">
        <f t="shared" si="3"/>
        <v>6</v>
      </c>
      <c r="W48" s="120">
        <f>Tabla2[[#This Row],[Fecha]]-DAY(Tabla2[[#This Row],[Fecha]])+1</f>
        <v>45078</v>
      </c>
      <c r="X48" s="109" t="s">
        <v>523</v>
      </c>
    </row>
    <row r="49" spans="1:25" x14ac:dyDescent="0.3">
      <c r="A49">
        <v>1047</v>
      </c>
      <c r="B49" s="77" t="s">
        <v>337</v>
      </c>
      <c r="C49" s="30">
        <v>2023</v>
      </c>
      <c r="D49" s="93">
        <v>45098</v>
      </c>
      <c r="E49" s="30" t="s">
        <v>368</v>
      </c>
      <c r="F49" s="30" t="s">
        <v>493</v>
      </c>
      <c r="G49" s="30" t="s">
        <v>494</v>
      </c>
      <c r="H49" s="120">
        <v>44986</v>
      </c>
      <c r="I49" s="30" t="s">
        <v>582</v>
      </c>
      <c r="J49" s="73" t="s">
        <v>495</v>
      </c>
      <c r="K49" s="30">
        <v>1</v>
      </c>
      <c r="L49" s="73" t="s">
        <v>395</v>
      </c>
      <c r="M49" s="74">
        <f>N49*0.3</f>
        <v>2130</v>
      </c>
      <c r="N49" s="74">
        <v>7100</v>
      </c>
      <c r="O49" s="97" t="s">
        <v>527</v>
      </c>
      <c r="P49" s="74">
        <f t="shared" si="2"/>
        <v>2130</v>
      </c>
      <c r="Q49" s="30" t="s">
        <v>385</v>
      </c>
      <c r="R49" s="30" t="s">
        <v>238</v>
      </c>
      <c r="S49" s="30" t="s">
        <v>21</v>
      </c>
      <c r="T49" s="30" t="s">
        <v>386</v>
      </c>
      <c r="U49" s="30"/>
      <c r="V49" s="30">
        <f t="shared" si="3"/>
        <v>6</v>
      </c>
      <c r="W49" s="120">
        <f>Tabla2[[#This Row],[Fecha]]-DAY(Tabla2[[#This Row],[Fecha]])+1</f>
        <v>45078</v>
      </c>
      <c r="X49" s="109" t="s">
        <v>524</v>
      </c>
    </row>
    <row r="50" spans="1:25" x14ac:dyDescent="0.3">
      <c r="A50">
        <v>1048</v>
      </c>
      <c r="B50" s="108" t="str">
        <f>+""</f>
        <v/>
      </c>
      <c r="C50" s="30">
        <v>2023</v>
      </c>
      <c r="D50" s="93">
        <v>45113</v>
      </c>
      <c r="E50" s="30" t="s">
        <v>368</v>
      </c>
      <c r="F50" s="30"/>
      <c r="G50" s="30" t="s">
        <v>496</v>
      </c>
      <c r="H50" s="120"/>
      <c r="I50" s="30"/>
      <c r="J50" s="73" t="s">
        <v>447</v>
      </c>
      <c r="K50" s="30"/>
      <c r="L50" s="73" t="s">
        <v>497</v>
      </c>
      <c r="M50" s="74">
        <v>5100</v>
      </c>
      <c r="N50" s="74">
        <v>61200</v>
      </c>
      <c r="O50" s="97" t="s">
        <v>527</v>
      </c>
      <c r="P50" s="74">
        <f t="shared" si="2"/>
        <v>5100</v>
      </c>
      <c r="Q50" s="30" t="s">
        <v>321</v>
      </c>
      <c r="R50" s="30" t="s">
        <v>238</v>
      </c>
      <c r="S50" s="30" t="s">
        <v>243</v>
      </c>
      <c r="T50" s="30" t="s">
        <v>386</v>
      </c>
      <c r="U50" s="30"/>
      <c r="V50" s="30">
        <f t="shared" si="3"/>
        <v>7</v>
      </c>
      <c r="W50" s="120">
        <f>Tabla2[[#This Row],[Fecha]]-DAY(Tabla2[[#This Row],[Fecha]])+1</f>
        <v>45108</v>
      </c>
      <c r="X50" s="109"/>
    </row>
    <row r="51" spans="1:25" x14ac:dyDescent="0.3">
      <c r="A51">
        <v>1049</v>
      </c>
      <c r="B51" s="77" t="s">
        <v>337</v>
      </c>
      <c r="C51" s="30">
        <v>2023</v>
      </c>
      <c r="D51" s="93">
        <v>45128</v>
      </c>
      <c r="E51" s="30" t="s">
        <v>368</v>
      </c>
      <c r="F51" s="30" t="s">
        <v>467</v>
      </c>
      <c r="G51" s="30" t="s">
        <v>579</v>
      </c>
      <c r="H51" s="120">
        <v>44986</v>
      </c>
      <c r="I51" s="30" t="s">
        <v>469</v>
      </c>
      <c r="J51" s="73" t="s">
        <v>470</v>
      </c>
      <c r="K51" s="30">
        <v>3</v>
      </c>
      <c r="L51" s="73" t="s">
        <v>505</v>
      </c>
      <c r="M51" s="74">
        <f>N51*0.7/5</f>
        <v>5460</v>
      </c>
      <c r="N51" s="74">
        <v>39000</v>
      </c>
      <c r="O51" s="97" t="s">
        <v>527</v>
      </c>
      <c r="P51" s="74">
        <f t="shared" si="2"/>
        <v>5460</v>
      </c>
      <c r="Q51" s="30" t="s">
        <v>385</v>
      </c>
      <c r="R51" s="30" t="s">
        <v>238</v>
      </c>
      <c r="S51" s="30" t="s">
        <v>21</v>
      </c>
      <c r="T51" s="30" t="s">
        <v>386</v>
      </c>
      <c r="U51" s="30"/>
      <c r="V51" s="30">
        <f t="shared" si="3"/>
        <v>7</v>
      </c>
      <c r="W51" s="120">
        <f>Tabla2[[#This Row],[Fecha]]-DAY(Tabla2[[#This Row],[Fecha]])+1</f>
        <v>45108</v>
      </c>
      <c r="X51" s="109" t="s">
        <v>523</v>
      </c>
    </row>
    <row r="52" spans="1:25" x14ac:dyDescent="0.3">
      <c r="A52">
        <v>1050</v>
      </c>
      <c r="B52" s="77" t="s">
        <v>337</v>
      </c>
      <c r="C52" s="30">
        <v>2023</v>
      </c>
      <c r="D52" s="93">
        <v>45128</v>
      </c>
      <c r="E52" s="30" t="s">
        <v>368</v>
      </c>
      <c r="F52" s="30" t="s">
        <v>493</v>
      </c>
      <c r="G52" s="30" t="s">
        <v>578</v>
      </c>
      <c r="H52" s="120">
        <v>44986</v>
      </c>
      <c r="I52" s="30" t="s">
        <v>582</v>
      </c>
      <c r="J52" s="73" t="s">
        <v>495</v>
      </c>
      <c r="K52" s="30">
        <v>2</v>
      </c>
      <c r="L52" s="73" t="s">
        <v>509</v>
      </c>
      <c r="M52" s="74">
        <f>N52*0.7/2</f>
        <v>2485</v>
      </c>
      <c r="N52" s="74">
        <v>7100</v>
      </c>
      <c r="O52" s="97" t="s">
        <v>527</v>
      </c>
      <c r="P52" s="74">
        <f t="shared" si="2"/>
        <v>2485</v>
      </c>
      <c r="Q52" s="30" t="s">
        <v>385</v>
      </c>
      <c r="R52" s="30" t="s">
        <v>238</v>
      </c>
      <c r="S52" s="30" t="s">
        <v>21</v>
      </c>
      <c r="T52" s="30" t="s">
        <v>386</v>
      </c>
      <c r="U52" s="30"/>
      <c r="V52" s="30">
        <f t="shared" si="3"/>
        <v>7</v>
      </c>
      <c r="W52" s="120">
        <f>Tabla2[[#This Row],[Fecha]]-DAY(Tabla2[[#This Row],[Fecha]])+1</f>
        <v>45108</v>
      </c>
      <c r="X52" s="109" t="s">
        <v>524</v>
      </c>
    </row>
    <row r="53" spans="1:25" x14ac:dyDescent="0.3">
      <c r="A53">
        <v>1051</v>
      </c>
      <c r="B53" s="108" t="s">
        <v>339</v>
      </c>
      <c r="C53" s="30">
        <v>2023</v>
      </c>
      <c r="D53" s="93">
        <v>45128</v>
      </c>
      <c r="E53" s="30" t="s">
        <v>368</v>
      </c>
      <c r="F53" s="30"/>
      <c r="G53" s="30" t="s">
        <v>577</v>
      </c>
      <c r="H53" s="120">
        <v>45047</v>
      </c>
      <c r="I53" s="30" t="s">
        <v>583</v>
      </c>
      <c r="J53" s="73" t="s">
        <v>489</v>
      </c>
      <c r="K53" s="30">
        <v>2</v>
      </c>
      <c r="L53" s="73" t="s">
        <v>511</v>
      </c>
      <c r="M53" s="74">
        <v>1800</v>
      </c>
      <c r="N53" s="74">
        <v>8000</v>
      </c>
      <c r="O53" s="97" t="s">
        <v>527</v>
      </c>
      <c r="P53" s="74">
        <f t="shared" si="2"/>
        <v>1800</v>
      </c>
      <c r="Q53" s="30" t="s">
        <v>385</v>
      </c>
      <c r="R53" s="30" t="s">
        <v>238</v>
      </c>
      <c r="S53" s="30" t="s">
        <v>21</v>
      </c>
      <c r="T53" s="30" t="s">
        <v>386</v>
      </c>
      <c r="U53" s="30"/>
      <c r="V53" s="30">
        <f t="shared" si="3"/>
        <v>7</v>
      </c>
      <c r="W53" s="120">
        <f>Tabla2[[#This Row],[Fecha]]-DAY(Tabla2[[#This Row],[Fecha]])+1</f>
        <v>45108</v>
      </c>
      <c r="X53" s="109"/>
    </row>
    <row r="54" spans="1:25" x14ac:dyDescent="0.3">
      <c r="A54">
        <v>1052</v>
      </c>
      <c r="B54" s="108" t="str">
        <f>+""</f>
        <v/>
      </c>
      <c r="C54" s="30">
        <v>2023</v>
      </c>
      <c r="D54" s="93">
        <v>45155</v>
      </c>
      <c r="E54" s="30" t="s">
        <v>368</v>
      </c>
      <c r="F54" s="30"/>
      <c r="G54" s="30" t="s">
        <v>584</v>
      </c>
      <c r="H54" s="120"/>
      <c r="I54" s="30"/>
      <c r="J54" s="73" t="s">
        <v>447</v>
      </c>
      <c r="K54" s="30"/>
      <c r="L54" s="73" t="s">
        <v>498</v>
      </c>
      <c r="M54" s="74">
        <v>5100</v>
      </c>
      <c r="N54" s="74">
        <v>61200</v>
      </c>
      <c r="O54" s="97" t="s">
        <v>527</v>
      </c>
      <c r="P54" s="74">
        <f t="shared" si="2"/>
        <v>5100</v>
      </c>
      <c r="Q54" s="30" t="s">
        <v>321</v>
      </c>
      <c r="R54" s="30" t="s">
        <v>238</v>
      </c>
      <c r="S54" s="30" t="s">
        <v>243</v>
      </c>
      <c r="T54" s="30" t="s">
        <v>386</v>
      </c>
      <c r="U54" s="30"/>
      <c r="V54" s="30">
        <f t="shared" si="3"/>
        <v>8</v>
      </c>
      <c r="W54" s="120">
        <f>Tabla2[[#This Row],[Fecha]]-DAY(Tabla2[[#This Row],[Fecha]])+1</f>
        <v>45139</v>
      </c>
      <c r="X54" s="109"/>
    </row>
    <row r="55" spans="1:25" x14ac:dyDescent="0.3">
      <c r="A55" s="213">
        <v>1053</v>
      </c>
      <c r="B55" s="206" t="s">
        <v>337</v>
      </c>
      <c r="C55" s="207">
        <v>2023</v>
      </c>
      <c r="D55" s="93">
        <v>45155</v>
      </c>
      <c r="E55" s="30" t="s">
        <v>368</v>
      </c>
      <c r="F55" s="30" t="s">
        <v>467</v>
      </c>
      <c r="G55" s="30" t="s">
        <v>585</v>
      </c>
      <c r="H55" s="120">
        <v>44986</v>
      </c>
      <c r="I55" s="30" t="s">
        <v>469</v>
      </c>
      <c r="J55" s="73" t="s">
        <v>470</v>
      </c>
      <c r="K55" s="30">
        <v>4</v>
      </c>
      <c r="L55" s="73" t="s">
        <v>506</v>
      </c>
      <c r="M55" s="74">
        <f>N55*0.7/5</f>
        <v>5460</v>
      </c>
      <c r="N55" s="74">
        <v>39000</v>
      </c>
      <c r="O55" s="97" t="s">
        <v>527</v>
      </c>
      <c r="P55" s="74">
        <f t="shared" si="2"/>
        <v>5460</v>
      </c>
      <c r="Q55" s="30" t="s">
        <v>385</v>
      </c>
      <c r="R55" s="30" t="s">
        <v>238</v>
      </c>
      <c r="S55" s="30" t="s">
        <v>21</v>
      </c>
      <c r="T55" s="30" t="s">
        <v>386</v>
      </c>
      <c r="U55" s="30"/>
      <c r="V55" s="30">
        <f t="shared" si="3"/>
        <v>8</v>
      </c>
      <c r="W55" s="120">
        <f>Tabla2[[#This Row],[Fecha]]-DAY(Tabla2[[#This Row],[Fecha]])+1</f>
        <v>45139</v>
      </c>
      <c r="X55" s="109" t="s">
        <v>523</v>
      </c>
    </row>
    <row r="56" spans="1:25" x14ac:dyDescent="0.3">
      <c r="A56" s="213">
        <v>1054</v>
      </c>
      <c r="B56" s="208" t="str">
        <f>+""</f>
        <v/>
      </c>
      <c r="C56" s="207">
        <v>2023</v>
      </c>
      <c r="D56" s="93">
        <v>45166</v>
      </c>
      <c r="E56" s="30" t="s">
        <v>381</v>
      </c>
      <c r="F56" s="30"/>
      <c r="G56" s="30" t="s">
        <v>602</v>
      </c>
      <c r="H56" s="120"/>
      <c r="I56" s="30" t="s">
        <v>458</v>
      </c>
      <c r="J56" s="73" t="s">
        <v>459</v>
      </c>
      <c r="K56" s="30">
        <v>2</v>
      </c>
      <c r="L56" s="73" t="s">
        <v>504</v>
      </c>
      <c r="M56" s="74">
        <v>11000</v>
      </c>
      <c r="N56" s="74">
        <v>22000</v>
      </c>
      <c r="O56" s="97" t="s">
        <v>527</v>
      </c>
      <c r="P56" s="74">
        <f t="shared" si="2"/>
        <v>11000</v>
      </c>
      <c r="Q56" s="30" t="s">
        <v>321</v>
      </c>
      <c r="R56" s="30" t="s">
        <v>238</v>
      </c>
      <c r="S56" s="30" t="s">
        <v>243</v>
      </c>
      <c r="T56" s="217" t="s">
        <v>386</v>
      </c>
      <c r="U56" s="218">
        <v>45173</v>
      </c>
      <c r="V56" s="30">
        <f t="shared" si="3"/>
        <v>8</v>
      </c>
      <c r="W56" s="120">
        <f>Tabla2[[#This Row],[Fecha]]-DAY(Tabla2[[#This Row],[Fecha]])+1</f>
        <v>45139</v>
      </c>
      <c r="X56" s="109"/>
    </row>
    <row r="57" spans="1:25" x14ac:dyDescent="0.3">
      <c r="A57" s="213">
        <v>1055</v>
      </c>
      <c r="B57" s="208" t="str">
        <f>+""</f>
        <v/>
      </c>
      <c r="C57" s="207">
        <v>2022</v>
      </c>
      <c r="D57" s="216">
        <v>45170</v>
      </c>
      <c r="E57" s="207" t="s">
        <v>368</v>
      </c>
      <c r="F57" s="207" t="s">
        <v>427</v>
      </c>
      <c r="G57" s="30" t="s">
        <v>647</v>
      </c>
      <c r="H57" s="120"/>
      <c r="I57" s="30"/>
      <c r="J57" s="73" t="s">
        <v>429</v>
      </c>
      <c r="K57" s="30">
        <v>4</v>
      </c>
      <c r="L57" s="73" t="s">
        <v>450</v>
      </c>
      <c r="M57" s="74">
        <v>2333.33</v>
      </c>
      <c r="N57" s="74">
        <v>10000</v>
      </c>
      <c r="O57" s="97" t="s">
        <v>527</v>
      </c>
      <c r="P57" s="74">
        <f t="shared" si="2"/>
        <v>2333.33</v>
      </c>
      <c r="Q57" s="30" t="s">
        <v>385</v>
      </c>
      <c r="R57" s="30" t="s">
        <v>238</v>
      </c>
      <c r="S57" s="30" t="s">
        <v>21</v>
      </c>
      <c r="T57" s="217" t="s">
        <v>386</v>
      </c>
      <c r="U57" s="219">
        <v>45219</v>
      </c>
      <c r="V57" s="30">
        <f t="shared" si="3"/>
        <v>9</v>
      </c>
      <c r="W57" s="120">
        <f>Tabla2[[#This Row],[Fecha]]-DAY(Tabla2[[#This Row],[Fecha]])+1</f>
        <v>45170</v>
      </c>
      <c r="X57" s="109"/>
    </row>
    <row r="58" spans="1:25" s="1" customFormat="1" x14ac:dyDescent="0.3">
      <c r="A58" s="213">
        <v>1056</v>
      </c>
      <c r="B58" s="206" t="s">
        <v>337</v>
      </c>
      <c r="C58" s="207">
        <v>2023</v>
      </c>
      <c r="D58" s="122">
        <v>45170</v>
      </c>
      <c r="E58" s="207" t="s">
        <v>368</v>
      </c>
      <c r="F58" s="207" t="s">
        <v>493</v>
      </c>
      <c r="G58" s="70" t="s">
        <v>739</v>
      </c>
      <c r="H58" s="209">
        <v>44986</v>
      </c>
      <c r="I58" s="207" t="s">
        <v>582</v>
      </c>
      <c r="J58" s="210" t="s">
        <v>495</v>
      </c>
      <c r="K58" s="207">
        <v>3</v>
      </c>
      <c r="L58" s="210" t="s">
        <v>510</v>
      </c>
      <c r="M58" s="166">
        <f>N58*0.7/2</f>
        <v>2485</v>
      </c>
      <c r="N58" s="166">
        <v>7100</v>
      </c>
      <c r="O58" s="211" t="s">
        <v>527</v>
      </c>
      <c r="P58" s="166">
        <f t="shared" si="2"/>
        <v>2485</v>
      </c>
      <c r="Q58" s="207" t="s">
        <v>385</v>
      </c>
      <c r="R58" s="207" t="s">
        <v>238</v>
      </c>
      <c r="S58" s="207" t="s">
        <v>21</v>
      </c>
      <c r="T58" s="207" t="s">
        <v>463</v>
      </c>
      <c r="U58" s="214">
        <v>45251</v>
      </c>
      <c r="V58" s="207" t="str">
        <f t="shared" si="3"/>
        <v/>
      </c>
      <c r="W58" s="209">
        <f>Tabla2[[#This Row],[Fecha]]-DAY(Tabla2[[#This Row],[Fecha]])+1</f>
        <v>45170</v>
      </c>
      <c r="X58" s="212" t="s">
        <v>524</v>
      </c>
      <c r="Y58" s="213"/>
    </row>
    <row r="59" spans="1:25" x14ac:dyDescent="0.3">
      <c r="A59" s="213">
        <v>1057</v>
      </c>
      <c r="B59" s="208" t="s">
        <v>338</v>
      </c>
      <c r="C59" s="207">
        <v>2023</v>
      </c>
      <c r="D59" s="122">
        <v>45170</v>
      </c>
      <c r="E59" s="30" t="s">
        <v>368</v>
      </c>
      <c r="F59" s="30"/>
      <c r="G59" s="70" t="s">
        <v>680</v>
      </c>
      <c r="H59" s="120">
        <v>45047</v>
      </c>
      <c r="I59" s="30" t="s">
        <v>583</v>
      </c>
      <c r="J59" s="73" t="s">
        <v>489</v>
      </c>
      <c r="K59" s="30">
        <v>3</v>
      </c>
      <c r="L59" s="73" t="s">
        <v>512</v>
      </c>
      <c r="M59" s="74">
        <v>2800</v>
      </c>
      <c r="N59" s="74">
        <v>8000</v>
      </c>
      <c r="O59" s="97" t="s">
        <v>527</v>
      </c>
      <c r="P59" s="74">
        <f t="shared" si="2"/>
        <v>2800</v>
      </c>
      <c r="Q59" s="30" t="s">
        <v>385</v>
      </c>
      <c r="R59" s="30" t="s">
        <v>238</v>
      </c>
      <c r="S59" s="30" t="s">
        <v>21</v>
      </c>
      <c r="T59" s="30" t="s">
        <v>463</v>
      </c>
      <c r="U59" s="186">
        <v>45241</v>
      </c>
      <c r="V59" s="30" t="str">
        <f t="shared" si="3"/>
        <v/>
      </c>
      <c r="W59" s="120">
        <f>Tabla2[[#This Row],[Fecha]]-DAY(Tabla2[[#This Row],[Fecha]])+1</f>
        <v>45170</v>
      </c>
      <c r="X59" s="109"/>
    </row>
    <row r="60" spans="1:25" x14ac:dyDescent="0.3">
      <c r="A60" s="213">
        <v>1058</v>
      </c>
      <c r="B60" s="208" t="str">
        <f>+""</f>
        <v/>
      </c>
      <c r="C60" s="207">
        <v>2023</v>
      </c>
      <c r="D60" s="216">
        <v>45170</v>
      </c>
      <c r="E60" s="30" t="s">
        <v>368</v>
      </c>
      <c r="F60" s="30"/>
      <c r="G60" s="30" t="s">
        <v>642</v>
      </c>
      <c r="H60" s="120"/>
      <c r="I60" s="30" t="s">
        <v>639</v>
      </c>
      <c r="J60" s="73" t="s">
        <v>447</v>
      </c>
      <c r="K60" s="30"/>
      <c r="L60" s="73" t="s">
        <v>499</v>
      </c>
      <c r="M60" s="74">
        <v>5100</v>
      </c>
      <c r="N60" s="74">
        <v>61200</v>
      </c>
      <c r="O60" s="97" t="s">
        <v>527</v>
      </c>
      <c r="P60" s="74">
        <f t="shared" si="2"/>
        <v>5100</v>
      </c>
      <c r="Q60" s="30" t="s">
        <v>321</v>
      </c>
      <c r="R60" s="30" t="s">
        <v>238</v>
      </c>
      <c r="S60" s="30" t="s">
        <v>243</v>
      </c>
      <c r="T60" s="217" t="s">
        <v>386</v>
      </c>
      <c r="U60" s="219">
        <v>45219</v>
      </c>
      <c r="V60" s="30">
        <f t="shared" si="3"/>
        <v>9</v>
      </c>
      <c r="W60" s="120">
        <f>Tabla2[[#This Row],[Fecha]]-DAY(Tabla2[[#This Row],[Fecha]])+1</f>
        <v>45170</v>
      </c>
      <c r="X60" s="109"/>
    </row>
    <row r="61" spans="1:25" x14ac:dyDescent="0.3">
      <c r="A61" s="213">
        <v>1059</v>
      </c>
      <c r="B61" s="206" t="s">
        <v>337</v>
      </c>
      <c r="C61" s="207">
        <v>2023</v>
      </c>
      <c r="D61" s="216">
        <v>45170</v>
      </c>
      <c r="E61" s="30" t="s">
        <v>368</v>
      </c>
      <c r="F61" s="30" t="s">
        <v>467</v>
      </c>
      <c r="G61" s="30" t="s">
        <v>643</v>
      </c>
      <c r="H61" s="120">
        <v>44986</v>
      </c>
      <c r="I61" s="30" t="s">
        <v>469</v>
      </c>
      <c r="J61" s="73" t="s">
        <v>470</v>
      </c>
      <c r="K61" s="30">
        <v>5</v>
      </c>
      <c r="L61" s="73" t="s">
        <v>507</v>
      </c>
      <c r="M61" s="74">
        <f>N61*0.7/5</f>
        <v>5460</v>
      </c>
      <c r="N61" s="166">
        <v>39000</v>
      </c>
      <c r="O61" s="97" t="s">
        <v>527</v>
      </c>
      <c r="P61" s="74">
        <f t="shared" si="2"/>
        <v>5460</v>
      </c>
      <c r="Q61" s="30" t="s">
        <v>385</v>
      </c>
      <c r="R61" s="30" t="s">
        <v>238</v>
      </c>
      <c r="S61" s="30" t="s">
        <v>21</v>
      </c>
      <c r="T61" s="217" t="s">
        <v>386</v>
      </c>
      <c r="U61" s="219">
        <v>45219</v>
      </c>
      <c r="V61" s="30">
        <f t="shared" si="3"/>
        <v>9</v>
      </c>
      <c r="W61" s="120">
        <f>Tabla2[[#This Row],[Fecha]]-DAY(Tabla2[[#This Row],[Fecha]])+1</f>
        <v>45170</v>
      </c>
      <c r="X61" s="109" t="s">
        <v>523</v>
      </c>
    </row>
    <row r="62" spans="1:25" x14ac:dyDescent="0.3">
      <c r="A62" s="213">
        <v>1060</v>
      </c>
      <c r="B62" s="206" t="s">
        <v>339</v>
      </c>
      <c r="C62" s="207">
        <v>2023</v>
      </c>
      <c r="D62" s="216">
        <v>45170</v>
      </c>
      <c r="E62" s="30" t="s">
        <v>368</v>
      </c>
      <c r="F62" s="30" t="s">
        <v>623</v>
      </c>
      <c r="G62" s="30" t="s">
        <v>645</v>
      </c>
      <c r="H62" s="120">
        <v>45139</v>
      </c>
      <c r="I62" s="30" t="s">
        <v>637</v>
      </c>
      <c r="J62" s="73" t="s">
        <v>622</v>
      </c>
      <c r="K62" s="30">
        <v>2</v>
      </c>
      <c r="L62" s="73" t="s">
        <v>624</v>
      </c>
      <c r="M62" s="74">
        <v>4640</v>
      </c>
      <c r="N62" s="166">
        <v>9280</v>
      </c>
      <c r="O62" s="97" t="s">
        <v>527</v>
      </c>
      <c r="P62" s="74">
        <f t="shared" si="2"/>
        <v>4640</v>
      </c>
      <c r="Q62" s="30" t="s">
        <v>385</v>
      </c>
      <c r="R62" s="30" t="s">
        <v>238</v>
      </c>
      <c r="S62" s="30" t="s">
        <v>21</v>
      </c>
      <c r="T62" s="217" t="s">
        <v>386</v>
      </c>
      <c r="U62" s="219">
        <v>45219</v>
      </c>
      <c r="V62" s="30">
        <f t="shared" si="3"/>
        <v>9</v>
      </c>
      <c r="W62" s="120">
        <f>Tabla2[[#This Row],[Fecha]]-DAY(Tabla2[[#This Row],[Fecha]])+1</f>
        <v>45170</v>
      </c>
      <c r="X62" s="109" t="s">
        <v>524</v>
      </c>
    </row>
    <row r="63" spans="1:25" x14ac:dyDescent="0.3">
      <c r="A63" s="213">
        <v>1061</v>
      </c>
      <c r="B63" s="208" t="s">
        <v>342</v>
      </c>
      <c r="C63" s="207">
        <v>2023</v>
      </c>
      <c r="D63" s="216">
        <v>45170</v>
      </c>
      <c r="E63" s="30" t="s">
        <v>368</v>
      </c>
      <c r="F63" s="30" t="s">
        <v>626</v>
      </c>
      <c r="G63" s="30" t="s">
        <v>644</v>
      </c>
      <c r="H63" s="120">
        <v>45139</v>
      </c>
      <c r="I63" s="30" t="s">
        <v>638</v>
      </c>
      <c r="J63" s="73" t="s">
        <v>629</v>
      </c>
      <c r="K63" s="30">
        <v>3</v>
      </c>
      <c r="L63" s="73" t="s">
        <v>631</v>
      </c>
      <c r="M63" s="74">
        <f>+Tabla2[[#This Row],[Total cuotas]]*0.3</f>
        <v>4110</v>
      </c>
      <c r="N63" s="166">
        <v>13700</v>
      </c>
      <c r="O63" s="97" t="s">
        <v>527</v>
      </c>
      <c r="P63" s="74">
        <f t="shared" si="2"/>
        <v>4110</v>
      </c>
      <c r="Q63" s="30" t="s">
        <v>385</v>
      </c>
      <c r="R63" s="30" t="s">
        <v>238</v>
      </c>
      <c r="S63" s="30" t="s">
        <v>365</v>
      </c>
      <c r="T63" s="217" t="s">
        <v>386</v>
      </c>
      <c r="U63" s="219">
        <v>45219</v>
      </c>
      <c r="V63" s="30">
        <f t="shared" si="3"/>
        <v>9</v>
      </c>
      <c r="W63" s="120">
        <f>Tabla2[[#This Row],[Fecha]]-DAY(Tabla2[[#This Row],[Fecha]])+1</f>
        <v>45170</v>
      </c>
      <c r="X63" s="109" t="s">
        <v>630</v>
      </c>
    </row>
    <row r="64" spans="1:25" x14ac:dyDescent="0.3">
      <c r="A64" s="213">
        <v>1062</v>
      </c>
      <c r="B64" s="208" t="s">
        <v>342</v>
      </c>
      <c r="C64" s="207">
        <v>2023</v>
      </c>
      <c r="D64" s="157">
        <v>45170</v>
      </c>
      <c r="E64" s="30" t="s">
        <v>627</v>
      </c>
      <c r="F64" s="30" t="s">
        <v>626</v>
      </c>
      <c r="G64" s="30" t="s">
        <v>646</v>
      </c>
      <c r="H64" s="120">
        <v>45139</v>
      </c>
      <c r="I64" s="30" t="s">
        <v>636</v>
      </c>
      <c r="J64" s="73" t="s">
        <v>629</v>
      </c>
      <c r="K64" s="30">
        <v>1</v>
      </c>
      <c r="L64" s="73" t="s">
        <v>391</v>
      </c>
      <c r="M64" s="74">
        <v>700</v>
      </c>
      <c r="N64" s="166">
        <v>700</v>
      </c>
      <c r="O64" s="97" t="s">
        <v>527</v>
      </c>
      <c r="P64" s="74">
        <f t="shared" si="2"/>
        <v>700</v>
      </c>
      <c r="Q64" s="30" t="s">
        <v>385</v>
      </c>
      <c r="R64" s="30" t="s">
        <v>238</v>
      </c>
      <c r="S64" s="30" t="s">
        <v>365</v>
      </c>
      <c r="T64" s="217" t="s">
        <v>386</v>
      </c>
      <c r="U64" s="217"/>
      <c r="V64" s="30">
        <f t="shared" si="3"/>
        <v>9</v>
      </c>
      <c r="W64" s="120">
        <f>Tabla2[[#This Row],[Fecha]]-DAY(Tabla2[[#This Row],[Fecha]])+1</f>
        <v>45170</v>
      </c>
      <c r="X64" s="109" t="s">
        <v>630</v>
      </c>
    </row>
    <row r="65" spans="1:25" x14ac:dyDescent="0.3">
      <c r="A65" s="213">
        <v>1063</v>
      </c>
      <c r="B65" s="208" t="str">
        <f>+""</f>
        <v/>
      </c>
      <c r="C65" s="207">
        <v>2023</v>
      </c>
      <c r="D65" s="216">
        <v>45200</v>
      </c>
      <c r="E65" s="207" t="s">
        <v>368</v>
      </c>
      <c r="F65" s="207"/>
      <c r="G65" s="207" t="s">
        <v>661</v>
      </c>
      <c r="H65" s="209"/>
      <c r="I65" s="207" t="s">
        <v>639</v>
      </c>
      <c r="J65" s="210" t="s">
        <v>447</v>
      </c>
      <c r="K65" s="207"/>
      <c r="L65" s="210" t="s">
        <v>500</v>
      </c>
      <c r="M65" s="166">
        <v>5100</v>
      </c>
      <c r="N65" s="166">
        <v>61200</v>
      </c>
      <c r="O65" s="211" t="s">
        <v>527</v>
      </c>
      <c r="P65" s="166">
        <f t="shared" si="2"/>
        <v>5100</v>
      </c>
      <c r="Q65" s="207" t="s">
        <v>321</v>
      </c>
      <c r="R65" s="207" t="s">
        <v>238</v>
      </c>
      <c r="S65" s="207" t="s">
        <v>243</v>
      </c>
      <c r="T65" s="217" t="s">
        <v>386</v>
      </c>
      <c r="U65" s="219">
        <v>45232</v>
      </c>
      <c r="V65" s="30">
        <f t="shared" si="3"/>
        <v>10</v>
      </c>
      <c r="W65" s="120">
        <f>Tabla2[[#This Row],[Fecha]]-DAY(Tabla2[[#This Row],[Fecha]])+1</f>
        <v>45200</v>
      </c>
      <c r="X65" s="109"/>
    </row>
    <row r="66" spans="1:25" x14ac:dyDescent="0.3">
      <c r="A66" s="213">
        <v>1064</v>
      </c>
      <c r="B66" s="206" t="s">
        <v>337</v>
      </c>
      <c r="C66" s="207">
        <v>2023</v>
      </c>
      <c r="D66" s="122">
        <v>45200</v>
      </c>
      <c r="E66" s="30" t="s">
        <v>368</v>
      </c>
      <c r="F66" s="30" t="s">
        <v>467</v>
      </c>
      <c r="G66" s="30"/>
      <c r="H66" s="120">
        <v>44986</v>
      </c>
      <c r="I66" s="30" t="s">
        <v>469</v>
      </c>
      <c r="J66" s="73" t="s">
        <v>470</v>
      </c>
      <c r="K66" s="30">
        <v>6</v>
      </c>
      <c r="L66" s="73" t="s">
        <v>508</v>
      </c>
      <c r="M66" s="74">
        <f>N66*0.7/5</f>
        <v>5460</v>
      </c>
      <c r="N66" s="166">
        <v>39000</v>
      </c>
      <c r="O66" s="97" t="s">
        <v>527</v>
      </c>
      <c r="P66" s="74">
        <f t="shared" si="2"/>
        <v>5460</v>
      </c>
      <c r="Q66" s="30" t="s">
        <v>385</v>
      </c>
      <c r="R66" s="30" t="s">
        <v>238</v>
      </c>
      <c r="S66" s="30" t="s">
        <v>21</v>
      </c>
      <c r="T66" s="30"/>
      <c r="U66" s="30"/>
      <c r="V66" s="30" t="str">
        <f t="shared" si="3"/>
        <v/>
      </c>
      <c r="W66" s="120">
        <f>Tabla2[[#This Row],[Fecha]]-DAY(Tabla2[[#This Row],[Fecha]])+1</f>
        <v>45200</v>
      </c>
      <c r="X66" s="109" t="s">
        <v>523</v>
      </c>
    </row>
    <row r="67" spans="1:25" s="1" customFormat="1" x14ac:dyDescent="0.3">
      <c r="A67" s="213">
        <v>1065</v>
      </c>
      <c r="B67" s="206" t="s">
        <v>339</v>
      </c>
      <c r="C67" s="207">
        <v>2023</v>
      </c>
      <c r="D67" s="122">
        <v>45200</v>
      </c>
      <c r="E67" s="207" t="s">
        <v>368</v>
      </c>
      <c r="F67" s="207" t="s">
        <v>623</v>
      </c>
      <c r="G67" s="70" t="s">
        <v>740</v>
      </c>
      <c r="H67" s="209">
        <v>45139</v>
      </c>
      <c r="I67" s="207" t="s">
        <v>637</v>
      </c>
      <c r="J67" s="210" t="s">
        <v>622</v>
      </c>
      <c r="K67" s="207">
        <v>2</v>
      </c>
      <c r="L67" s="210" t="s">
        <v>625</v>
      </c>
      <c r="M67" s="166">
        <v>4640</v>
      </c>
      <c r="N67" s="166">
        <v>9280</v>
      </c>
      <c r="O67" s="211" t="s">
        <v>527</v>
      </c>
      <c r="P67" s="166">
        <f t="shared" ref="P67:P98" si="4">IF(O67="SOL",M67,M67*$J$1)</f>
        <v>4640</v>
      </c>
      <c r="Q67" s="207" t="s">
        <v>385</v>
      </c>
      <c r="R67" s="207" t="s">
        <v>238</v>
      </c>
      <c r="S67" s="207" t="s">
        <v>21</v>
      </c>
      <c r="T67" s="207" t="s">
        <v>463</v>
      </c>
      <c r="U67" s="214">
        <v>45244</v>
      </c>
      <c r="V67" s="207" t="str">
        <f t="shared" ref="V67:V98" si="5">IF(T67="Cancelado",MONTH(D67),"")</f>
        <v/>
      </c>
      <c r="W67" s="209">
        <f>Tabla2[[#This Row],[Fecha]]-DAY(Tabla2[[#This Row],[Fecha]])+1</f>
        <v>45200</v>
      </c>
      <c r="X67" s="212" t="s">
        <v>524</v>
      </c>
      <c r="Y67" s="213"/>
    </row>
    <row r="68" spans="1:25" x14ac:dyDescent="0.3">
      <c r="A68" s="213">
        <v>1066</v>
      </c>
      <c r="B68" s="208" t="s">
        <v>342</v>
      </c>
      <c r="C68" s="207">
        <v>2023</v>
      </c>
      <c r="D68" s="122">
        <v>45200</v>
      </c>
      <c r="E68" s="207" t="s">
        <v>368</v>
      </c>
      <c r="F68" s="207" t="s">
        <v>626</v>
      </c>
      <c r="G68" s="70" t="s">
        <v>678</v>
      </c>
      <c r="H68" s="209">
        <v>45139</v>
      </c>
      <c r="I68" s="207" t="s">
        <v>638</v>
      </c>
      <c r="J68" s="210" t="s">
        <v>629</v>
      </c>
      <c r="K68" s="207">
        <v>3</v>
      </c>
      <c r="L68" s="210" t="s">
        <v>632</v>
      </c>
      <c r="M68" s="166">
        <f>+Tabla2[[#This Row],[Total cuotas]]*35%</f>
        <v>4795</v>
      </c>
      <c r="N68" s="166">
        <v>13700</v>
      </c>
      <c r="O68" s="211" t="s">
        <v>527</v>
      </c>
      <c r="P68" s="166">
        <f t="shared" si="4"/>
        <v>4795</v>
      </c>
      <c r="Q68" s="207" t="s">
        <v>385</v>
      </c>
      <c r="R68" s="207" t="s">
        <v>238</v>
      </c>
      <c r="S68" s="207" t="s">
        <v>365</v>
      </c>
      <c r="T68" s="207" t="s">
        <v>463</v>
      </c>
      <c r="U68" s="214">
        <v>45241</v>
      </c>
      <c r="V68" s="207" t="str">
        <f t="shared" si="5"/>
        <v/>
      </c>
      <c r="W68" s="209">
        <f>Tabla2[[#This Row],[Fecha]]-DAY(Tabla2[[#This Row],[Fecha]])+1</f>
        <v>45200</v>
      </c>
      <c r="X68" s="212" t="s">
        <v>630</v>
      </c>
      <c r="Y68" s="213"/>
    </row>
    <row r="69" spans="1:25" x14ac:dyDescent="0.3">
      <c r="A69" s="213">
        <v>1067</v>
      </c>
      <c r="B69" s="206" t="s">
        <v>349</v>
      </c>
      <c r="C69" s="207">
        <v>2023</v>
      </c>
      <c r="D69" s="122">
        <v>45200</v>
      </c>
      <c r="E69" s="207" t="s">
        <v>368</v>
      </c>
      <c r="F69" s="207" t="s">
        <v>628</v>
      </c>
      <c r="G69" s="70" t="s">
        <v>700</v>
      </c>
      <c r="H69" s="209">
        <v>45170</v>
      </c>
      <c r="I69" s="207" t="s">
        <v>664</v>
      </c>
      <c r="J69" s="210" t="s">
        <v>660</v>
      </c>
      <c r="K69" s="207">
        <v>2</v>
      </c>
      <c r="L69" s="210" t="s">
        <v>663</v>
      </c>
      <c r="M69" s="166">
        <f>+Tabla2[[#This Row],[Total cuotas]]*0.5</f>
        <v>4840</v>
      </c>
      <c r="N69" s="166">
        <v>9680</v>
      </c>
      <c r="O69" s="211" t="s">
        <v>527</v>
      </c>
      <c r="P69" s="166">
        <f t="shared" si="4"/>
        <v>4840</v>
      </c>
      <c r="Q69" s="207" t="s">
        <v>385</v>
      </c>
      <c r="R69" s="207" t="s">
        <v>238</v>
      </c>
      <c r="S69" s="207" t="s">
        <v>15</v>
      </c>
      <c r="T69" s="207" t="s">
        <v>463</v>
      </c>
      <c r="U69" s="214">
        <v>45242</v>
      </c>
      <c r="V69" s="207" t="str">
        <f t="shared" si="5"/>
        <v/>
      </c>
      <c r="W69" s="209">
        <f>Tabla2[[#This Row],[Fecha]]-DAY(Tabla2[[#This Row],[Fecha]])+1</f>
        <v>45200</v>
      </c>
      <c r="X69" s="212" t="s">
        <v>658</v>
      </c>
      <c r="Y69" s="213"/>
    </row>
    <row r="70" spans="1:25" x14ac:dyDescent="0.3">
      <c r="A70" s="213">
        <v>1068</v>
      </c>
      <c r="B70" s="206" t="s">
        <v>349</v>
      </c>
      <c r="C70" s="207">
        <v>2023</v>
      </c>
      <c r="D70" s="122">
        <v>45200</v>
      </c>
      <c r="E70" s="207" t="s">
        <v>381</v>
      </c>
      <c r="F70" s="207" t="s">
        <v>659</v>
      </c>
      <c r="G70" s="30"/>
      <c r="H70" s="209">
        <v>45170</v>
      </c>
      <c r="I70" s="207" t="s">
        <v>668</v>
      </c>
      <c r="J70" s="210" t="s">
        <v>677</v>
      </c>
      <c r="K70" s="207">
        <v>1</v>
      </c>
      <c r="L70" s="210" t="s">
        <v>665</v>
      </c>
      <c r="M70" s="166">
        <f>+Tabla2[[#This Row],[Total cuotas]]</f>
        <v>1170</v>
      </c>
      <c r="N70" s="166">
        <v>1170</v>
      </c>
      <c r="O70" s="211" t="s">
        <v>527</v>
      </c>
      <c r="P70" s="166">
        <f t="shared" si="4"/>
        <v>1170</v>
      </c>
      <c r="Q70" s="207" t="s">
        <v>385</v>
      </c>
      <c r="R70" s="207" t="s">
        <v>238</v>
      </c>
      <c r="S70" s="207" t="s">
        <v>15</v>
      </c>
      <c r="T70" s="207"/>
      <c r="U70" s="207"/>
      <c r="V70" s="207" t="str">
        <f t="shared" si="5"/>
        <v/>
      </c>
      <c r="W70" s="209">
        <f>Tabla2[[#This Row],[Fecha]]-DAY(Tabla2[[#This Row],[Fecha]])+1</f>
        <v>45200</v>
      </c>
      <c r="X70" s="212" t="s">
        <v>658</v>
      </c>
      <c r="Y70" s="213"/>
    </row>
    <row r="71" spans="1:25" x14ac:dyDescent="0.3">
      <c r="A71" s="213">
        <v>1069</v>
      </c>
      <c r="B71" s="208" t="s">
        <v>348</v>
      </c>
      <c r="C71" s="207">
        <v>2023</v>
      </c>
      <c r="D71" s="122">
        <v>45200</v>
      </c>
      <c r="E71" s="207" t="s">
        <v>368</v>
      </c>
      <c r="F71" s="207" t="s">
        <v>672</v>
      </c>
      <c r="G71" s="70" t="s">
        <v>679</v>
      </c>
      <c r="H71" s="209">
        <v>45200</v>
      </c>
      <c r="I71" s="207" t="s">
        <v>674</v>
      </c>
      <c r="J71" s="210" t="s">
        <v>669</v>
      </c>
      <c r="K71" s="207">
        <v>2</v>
      </c>
      <c r="L71" s="210" t="s">
        <v>670</v>
      </c>
      <c r="M71" s="166">
        <f>+Tabla2[[#This Row],[Total cuotas]]*0.5</f>
        <v>5600</v>
      </c>
      <c r="N71" s="166">
        <v>11200</v>
      </c>
      <c r="O71" s="211" t="s">
        <v>527</v>
      </c>
      <c r="P71" s="166">
        <f t="shared" si="4"/>
        <v>5600</v>
      </c>
      <c r="Q71" s="207" t="s">
        <v>385</v>
      </c>
      <c r="R71" s="207" t="s">
        <v>238</v>
      </c>
      <c r="S71" s="207" t="s">
        <v>243</v>
      </c>
      <c r="T71" s="207" t="s">
        <v>463</v>
      </c>
      <c r="U71" s="214">
        <v>45241</v>
      </c>
      <c r="V71" s="207" t="str">
        <f t="shared" si="5"/>
        <v/>
      </c>
      <c r="W71" s="209">
        <f>Tabla2[[#This Row],[Fecha]]-DAY(Tabla2[[#This Row],[Fecha]])+1</f>
        <v>45200</v>
      </c>
      <c r="X71" s="212"/>
      <c r="Y71" s="213"/>
    </row>
    <row r="72" spans="1:25" ht="28.8" x14ac:dyDescent="0.3">
      <c r="A72" s="213">
        <v>1070</v>
      </c>
      <c r="B72" s="208" t="str">
        <f>+""</f>
        <v/>
      </c>
      <c r="C72" s="207">
        <v>2023</v>
      </c>
      <c r="D72" s="93">
        <v>45202</v>
      </c>
      <c r="E72" s="207" t="s">
        <v>472</v>
      </c>
      <c r="F72" s="207"/>
      <c r="G72" s="70" t="s">
        <v>675</v>
      </c>
      <c r="H72" s="209">
        <v>45200</v>
      </c>
      <c r="I72" s="207"/>
      <c r="J72" s="215" t="s">
        <v>676</v>
      </c>
      <c r="K72" s="207">
        <v>1</v>
      </c>
      <c r="L72" s="210" t="s">
        <v>391</v>
      </c>
      <c r="M72" s="166">
        <v>7600</v>
      </c>
      <c r="N72" s="166">
        <v>7600</v>
      </c>
      <c r="O72" s="211" t="s">
        <v>528</v>
      </c>
      <c r="P72" s="166">
        <f t="shared" si="4"/>
        <v>28120</v>
      </c>
      <c r="Q72" s="207" t="s">
        <v>321</v>
      </c>
      <c r="R72" s="207" t="s">
        <v>238</v>
      </c>
      <c r="S72" s="207" t="s">
        <v>243</v>
      </c>
      <c r="T72" s="207" t="s">
        <v>463</v>
      </c>
      <c r="U72" s="207"/>
      <c r="V72" s="207" t="str">
        <f t="shared" si="5"/>
        <v/>
      </c>
      <c r="W72" s="209">
        <f>Tabla2[[#This Row],[Fecha]]-DAY(Tabla2[[#This Row],[Fecha]])+1</f>
        <v>45200</v>
      </c>
      <c r="X72" s="212"/>
      <c r="Y72" s="213"/>
    </row>
    <row r="73" spans="1:25" x14ac:dyDescent="0.3">
      <c r="A73" s="213">
        <v>1071</v>
      </c>
      <c r="B73" s="208" t="str">
        <f>+""</f>
        <v/>
      </c>
      <c r="C73" s="207">
        <v>2023</v>
      </c>
      <c r="D73" s="122">
        <v>45231</v>
      </c>
      <c r="E73" s="207" t="s">
        <v>368</v>
      </c>
      <c r="F73" s="207"/>
      <c r="G73" s="70" t="s">
        <v>736</v>
      </c>
      <c r="H73" s="209"/>
      <c r="I73" s="207" t="s">
        <v>639</v>
      </c>
      <c r="J73" s="210" t="s">
        <v>447</v>
      </c>
      <c r="K73" s="207"/>
      <c r="L73" s="210" t="s">
        <v>501</v>
      </c>
      <c r="M73" s="166">
        <v>5100</v>
      </c>
      <c r="N73" s="166">
        <v>61200</v>
      </c>
      <c r="O73" s="211" t="s">
        <v>527</v>
      </c>
      <c r="P73" s="166">
        <f t="shared" si="4"/>
        <v>5100</v>
      </c>
      <c r="Q73" s="207" t="s">
        <v>321</v>
      </c>
      <c r="R73" s="207" t="s">
        <v>238</v>
      </c>
      <c r="S73" s="207" t="s">
        <v>243</v>
      </c>
      <c r="T73" s="207" t="s">
        <v>463</v>
      </c>
      <c r="U73" s="214">
        <v>45263</v>
      </c>
      <c r="V73" s="207" t="str">
        <f t="shared" si="5"/>
        <v/>
      </c>
      <c r="W73" s="209">
        <f>Tabla2[[#This Row],[Fecha]]-DAY(Tabla2[[#This Row],[Fecha]])+1</f>
        <v>45231</v>
      </c>
      <c r="X73" s="212"/>
      <c r="Y73" s="213"/>
    </row>
    <row r="74" spans="1:25" x14ac:dyDescent="0.3">
      <c r="A74" s="213">
        <v>1072</v>
      </c>
      <c r="B74" s="208" t="s">
        <v>342</v>
      </c>
      <c r="C74" s="207">
        <v>2023</v>
      </c>
      <c r="D74" s="122">
        <v>45231</v>
      </c>
      <c r="E74" s="207" t="s">
        <v>368</v>
      </c>
      <c r="F74" s="207" t="s">
        <v>626</v>
      </c>
      <c r="G74" s="30"/>
      <c r="H74" s="209">
        <v>45139</v>
      </c>
      <c r="I74" s="207" t="s">
        <v>638</v>
      </c>
      <c r="J74" s="210" t="s">
        <v>629</v>
      </c>
      <c r="K74" s="207">
        <v>3</v>
      </c>
      <c r="L74" s="210" t="s">
        <v>633</v>
      </c>
      <c r="M74" s="166">
        <f>+Tabla2[[#This Row],[Total cuotas]]*35%</f>
        <v>4795</v>
      </c>
      <c r="N74" s="166">
        <v>13700</v>
      </c>
      <c r="O74" s="211" t="s">
        <v>527</v>
      </c>
      <c r="P74" s="166">
        <f t="shared" si="4"/>
        <v>4795</v>
      </c>
      <c r="Q74" s="207" t="s">
        <v>385</v>
      </c>
      <c r="R74" s="207" t="s">
        <v>238</v>
      </c>
      <c r="S74" s="207" t="s">
        <v>365</v>
      </c>
      <c r="T74" s="207"/>
      <c r="U74" s="207"/>
      <c r="V74" s="207" t="str">
        <f t="shared" si="5"/>
        <v/>
      </c>
      <c r="W74" s="209">
        <f>Tabla2[[#This Row],[Fecha]]-DAY(Tabla2[[#This Row],[Fecha]])+1</f>
        <v>45231</v>
      </c>
      <c r="X74" s="212" t="s">
        <v>630</v>
      </c>
      <c r="Y74" s="213"/>
    </row>
    <row r="75" spans="1:25" x14ac:dyDescent="0.3">
      <c r="A75" s="213">
        <v>1073</v>
      </c>
      <c r="B75" s="206" t="s">
        <v>349</v>
      </c>
      <c r="C75" s="207">
        <v>2023</v>
      </c>
      <c r="D75" s="122">
        <v>45231</v>
      </c>
      <c r="E75" s="207" t="s">
        <v>368</v>
      </c>
      <c r="F75" s="207" t="s">
        <v>628</v>
      </c>
      <c r="G75" s="30"/>
      <c r="H75" s="209">
        <v>45170</v>
      </c>
      <c r="I75" s="207" t="s">
        <v>664</v>
      </c>
      <c r="J75" s="210" t="s">
        <v>660</v>
      </c>
      <c r="K75" s="207">
        <v>2</v>
      </c>
      <c r="L75" s="210" t="s">
        <v>662</v>
      </c>
      <c r="M75" s="166">
        <f>+Tabla2[[#This Row],[Total cuotas]]*0.5</f>
        <v>4840</v>
      </c>
      <c r="N75" s="166">
        <v>9680</v>
      </c>
      <c r="O75" s="211" t="s">
        <v>527</v>
      </c>
      <c r="P75" s="166">
        <f t="shared" si="4"/>
        <v>4840</v>
      </c>
      <c r="Q75" s="207" t="s">
        <v>385</v>
      </c>
      <c r="R75" s="207" t="s">
        <v>238</v>
      </c>
      <c r="S75" s="207" t="s">
        <v>15</v>
      </c>
      <c r="T75" s="207"/>
      <c r="U75" s="207"/>
      <c r="V75" s="207" t="str">
        <f t="shared" si="5"/>
        <v/>
      </c>
      <c r="W75" s="209">
        <f>Tabla2[[#This Row],[Fecha]]-DAY(Tabla2[[#This Row],[Fecha]])+1</f>
        <v>45231</v>
      </c>
      <c r="X75" s="212" t="s">
        <v>658</v>
      </c>
      <c r="Y75" s="213"/>
    </row>
    <row r="76" spans="1:25" s="1" customFormat="1" x14ac:dyDescent="0.3">
      <c r="A76" s="213">
        <v>1074</v>
      </c>
      <c r="B76" s="208" t="s">
        <v>340</v>
      </c>
      <c r="C76" s="207">
        <v>2023</v>
      </c>
      <c r="D76" s="122">
        <v>45231</v>
      </c>
      <c r="E76" s="207" t="s">
        <v>368</v>
      </c>
      <c r="F76" s="207" t="s">
        <v>701</v>
      </c>
      <c r="G76" s="70" t="s">
        <v>741</v>
      </c>
      <c r="H76" s="209">
        <v>45200</v>
      </c>
      <c r="I76" s="207" t="s">
        <v>738</v>
      </c>
      <c r="J76" s="210" t="s">
        <v>702</v>
      </c>
      <c r="K76" s="207">
        <v>2</v>
      </c>
      <c r="L76" s="210" t="s">
        <v>670</v>
      </c>
      <c r="M76" s="166">
        <f>+Tabla2[[#This Row],[Total cuotas]]*0.5</f>
        <v>7150</v>
      </c>
      <c r="N76" s="166">
        <v>14300</v>
      </c>
      <c r="O76" s="211" t="s">
        <v>527</v>
      </c>
      <c r="P76" s="166">
        <f t="shared" si="4"/>
        <v>7150</v>
      </c>
      <c r="Q76" s="207" t="s">
        <v>385</v>
      </c>
      <c r="R76" s="207" t="s">
        <v>238</v>
      </c>
      <c r="S76" s="207" t="s">
        <v>110</v>
      </c>
      <c r="T76" s="207" t="s">
        <v>463</v>
      </c>
      <c r="U76" s="214">
        <v>45244</v>
      </c>
      <c r="V76" s="207" t="str">
        <f t="shared" si="5"/>
        <v/>
      </c>
      <c r="W76" s="209">
        <f>Tabla2[[#This Row],[Fecha]]-DAY(Tabla2[[#This Row],[Fecha]])+1</f>
        <v>45231</v>
      </c>
      <c r="X76" s="212"/>
      <c r="Y76" s="213"/>
    </row>
    <row r="77" spans="1:25" s="1" customFormat="1" x14ac:dyDescent="0.3">
      <c r="A77" s="213">
        <v>1075</v>
      </c>
      <c r="B77" s="208" t="s">
        <v>342</v>
      </c>
      <c r="C77" s="207">
        <v>2023</v>
      </c>
      <c r="D77" s="122">
        <v>45231</v>
      </c>
      <c r="E77" s="207" t="s">
        <v>368</v>
      </c>
      <c r="F77" s="207" t="s">
        <v>626</v>
      </c>
      <c r="G77" s="70" t="s">
        <v>742</v>
      </c>
      <c r="H77" s="209">
        <v>45200</v>
      </c>
      <c r="I77" s="207" t="s">
        <v>737</v>
      </c>
      <c r="J77" s="210" t="s">
        <v>629</v>
      </c>
      <c r="K77" s="207">
        <v>3</v>
      </c>
      <c r="L77" s="210" t="s">
        <v>703</v>
      </c>
      <c r="M77" s="166">
        <f>+Tabla2[[#This Row],[Total cuotas]]*0.3</f>
        <v>3000</v>
      </c>
      <c r="N77" s="166">
        <v>10000</v>
      </c>
      <c r="O77" s="211" t="s">
        <v>527</v>
      </c>
      <c r="P77" s="166">
        <f t="shared" si="4"/>
        <v>3000</v>
      </c>
      <c r="Q77" s="207" t="s">
        <v>385</v>
      </c>
      <c r="R77" s="207" t="s">
        <v>238</v>
      </c>
      <c r="S77" s="207" t="s">
        <v>365</v>
      </c>
      <c r="T77" s="207" t="s">
        <v>463</v>
      </c>
      <c r="U77" s="214">
        <v>45244</v>
      </c>
      <c r="V77" s="207" t="str">
        <f t="shared" si="5"/>
        <v/>
      </c>
      <c r="W77" s="209">
        <f>Tabla2[[#This Row],[Fecha]]-DAY(Tabla2[[#This Row],[Fecha]])+1</f>
        <v>45231</v>
      </c>
      <c r="X77" s="212" t="s">
        <v>630</v>
      </c>
      <c r="Y77" s="213"/>
    </row>
    <row r="78" spans="1:25" x14ac:dyDescent="0.3">
      <c r="A78">
        <v>1076</v>
      </c>
      <c r="B78" s="108" t="str">
        <f>+""</f>
        <v/>
      </c>
      <c r="C78" s="30">
        <v>2023</v>
      </c>
      <c r="D78" s="122">
        <v>45261</v>
      </c>
      <c r="E78" s="207" t="s">
        <v>368</v>
      </c>
      <c r="F78" s="207"/>
      <c r="G78" s="30"/>
      <c r="H78" s="209"/>
      <c r="I78" s="207" t="s">
        <v>639</v>
      </c>
      <c r="J78" s="210" t="s">
        <v>447</v>
      </c>
      <c r="K78" s="207"/>
      <c r="L78" s="210" t="s">
        <v>502</v>
      </c>
      <c r="M78" s="166">
        <v>5100</v>
      </c>
      <c r="N78" s="166">
        <v>61200</v>
      </c>
      <c r="O78" s="211" t="s">
        <v>527</v>
      </c>
      <c r="P78" s="166">
        <f t="shared" si="4"/>
        <v>5100</v>
      </c>
      <c r="Q78" s="207" t="s">
        <v>321</v>
      </c>
      <c r="R78" s="207" t="s">
        <v>238</v>
      </c>
      <c r="S78" s="207" t="s">
        <v>243</v>
      </c>
      <c r="T78" s="207" t="s">
        <v>463</v>
      </c>
      <c r="U78" s="207"/>
      <c r="V78" s="207" t="str">
        <f t="shared" si="5"/>
        <v/>
      </c>
      <c r="W78" s="209">
        <f>Tabla2[[#This Row],[Fecha]]-DAY(Tabla2[[#This Row],[Fecha]])+1</f>
        <v>45261</v>
      </c>
      <c r="X78" s="212"/>
      <c r="Y78" s="213"/>
    </row>
    <row r="79" spans="1:25" x14ac:dyDescent="0.3">
      <c r="A79">
        <v>1077</v>
      </c>
      <c r="B79" s="108" t="s">
        <v>348</v>
      </c>
      <c r="C79" s="30">
        <v>2023</v>
      </c>
      <c r="D79" s="122">
        <v>45261</v>
      </c>
      <c r="E79" s="207" t="s">
        <v>368</v>
      </c>
      <c r="F79" s="207" t="s">
        <v>672</v>
      </c>
      <c r="G79" s="30"/>
      <c r="H79" s="120">
        <v>45200</v>
      </c>
      <c r="I79" s="30" t="s">
        <v>674</v>
      </c>
      <c r="J79" s="73" t="s">
        <v>669</v>
      </c>
      <c r="K79" s="30">
        <v>2</v>
      </c>
      <c r="L79" s="73" t="s">
        <v>671</v>
      </c>
      <c r="M79" s="74">
        <f>+Tabla2[[#This Row],[Total cuotas]]*0.5</f>
        <v>5600</v>
      </c>
      <c r="N79" s="74">
        <v>11200</v>
      </c>
      <c r="O79" s="97" t="s">
        <v>527</v>
      </c>
      <c r="P79" s="74">
        <f t="shared" si="4"/>
        <v>5600</v>
      </c>
      <c r="Q79" s="30" t="s">
        <v>385</v>
      </c>
      <c r="R79" s="30" t="s">
        <v>238</v>
      </c>
      <c r="S79" s="30" t="s">
        <v>243</v>
      </c>
      <c r="T79" s="30"/>
      <c r="U79" s="30"/>
      <c r="V79" s="30" t="str">
        <f t="shared" si="5"/>
        <v/>
      </c>
      <c r="W79" s="120">
        <f>Tabla2[[#This Row],[Fecha]]-DAY(Tabla2[[#This Row],[Fecha]])+1</f>
        <v>45261</v>
      </c>
      <c r="X79" s="109"/>
    </row>
    <row r="80" spans="1:25" x14ac:dyDescent="0.3">
      <c r="A80">
        <v>1078</v>
      </c>
      <c r="B80" s="108" t="s">
        <v>342</v>
      </c>
      <c r="C80" s="30">
        <v>2023</v>
      </c>
      <c r="D80" s="122">
        <v>45261</v>
      </c>
      <c r="E80" s="30" t="s">
        <v>368</v>
      </c>
      <c r="F80" s="30" t="s">
        <v>626</v>
      </c>
      <c r="G80" s="30"/>
      <c r="H80" s="120">
        <v>45200</v>
      </c>
      <c r="I80" s="30" t="s">
        <v>737</v>
      </c>
      <c r="J80" s="73" t="s">
        <v>629</v>
      </c>
      <c r="K80" s="30">
        <v>3</v>
      </c>
      <c r="L80" s="73" t="s">
        <v>704</v>
      </c>
      <c r="M80" s="74">
        <f>+Tabla2[[#This Row],[Total cuotas]]*0.35</f>
        <v>3500</v>
      </c>
      <c r="N80" s="74">
        <v>10000</v>
      </c>
      <c r="O80" s="97" t="s">
        <v>527</v>
      </c>
      <c r="P80" s="74">
        <f t="shared" si="4"/>
        <v>3500</v>
      </c>
      <c r="Q80" s="30" t="s">
        <v>385</v>
      </c>
      <c r="R80" s="30" t="s">
        <v>238</v>
      </c>
      <c r="S80" s="30" t="s">
        <v>365</v>
      </c>
      <c r="T80" s="30"/>
      <c r="U80" s="30"/>
      <c r="V80" s="30" t="str">
        <f t="shared" si="5"/>
        <v/>
      </c>
      <c r="W80" s="120">
        <f>Tabla2[[#This Row],[Fecha]]-DAY(Tabla2[[#This Row],[Fecha]])+1</f>
        <v>45261</v>
      </c>
      <c r="X80" s="109" t="s">
        <v>630</v>
      </c>
    </row>
    <row r="81" spans="1:24" x14ac:dyDescent="0.3">
      <c r="A81">
        <v>1079</v>
      </c>
      <c r="B81" s="108" t="str">
        <f>+""</f>
        <v/>
      </c>
      <c r="C81" s="115">
        <v>2024</v>
      </c>
      <c r="D81" s="122">
        <v>45292</v>
      </c>
      <c r="E81" s="115" t="s">
        <v>368</v>
      </c>
      <c r="F81" s="30"/>
      <c r="G81" s="115"/>
      <c r="H81" s="120"/>
      <c r="I81" s="115" t="s">
        <v>639</v>
      </c>
      <c r="J81" s="73" t="s">
        <v>447</v>
      </c>
      <c r="K81" s="115"/>
      <c r="L81" s="116" t="s">
        <v>503</v>
      </c>
      <c r="M81" s="117">
        <v>5100</v>
      </c>
      <c r="N81" s="117">
        <v>61200</v>
      </c>
      <c r="O81" s="118" t="s">
        <v>527</v>
      </c>
      <c r="P81" s="117">
        <f t="shared" si="4"/>
        <v>5100</v>
      </c>
      <c r="Q81" s="115" t="s">
        <v>321</v>
      </c>
      <c r="R81" s="115" t="s">
        <v>238</v>
      </c>
      <c r="S81" s="30" t="s">
        <v>243</v>
      </c>
      <c r="T81" s="115" t="s">
        <v>463</v>
      </c>
      <c r="U81" s="115"/>
      <c r="V81" s="30" t="str">
        <f t="shared" si="5"/>
        <v/>
      </c>
      <c r="W81" s="120">
        <f>Tabla2[[#This Row],[Fecha]]-DAY(Tabla2[[#This Row],[Fecha]])+1</f>
        <v>45292</v>
      </c>
      <c r="X81" s="109"/>
    </row>
    <row r="82" spans="1:24" x14ac:dyDescent="0.3">
      <c r="A82">
        <v>1080</v>
      </c>
      <c r="B82" s="108" t="s">
        <v>340</v>
      </c>
      <c r="C82" s="115">
        <v>2023</v>
      </c>
      <c r="D82" s="122">
        <v>45292</v>
      </c>
      <c r="E82" s="115" t="s">
        <v>368</v>
      </c>
      <c r="F82" s="30" t="s">
        <v>701</v>
      </c>
      <c r="G82" s="30"/>
      <c r="H82" s="120">
        <v>45200</v>
      </c>
      <c r="I82" s="115" t="s">
        <v>738</v>
      </c>
      <c r="J82" s="116" t="s">
        <v>702</v>
      </c>
      <c r="K82" s="115">
        <v>2</v>
      </c>
      <c r="L82" s="116" t="s">
        <v>671</v>
      </c>
      <c r="M82" s="117">
        <f>+Tabla2[[#This Row],[Total cuotas]]*0.5</f>
        <v>7150</v>
      </c>
      <c r="N82" s="117">
        <v>14300</v>
      </c>
      <c r="O82" s="118" t="s">
        <v>527</v>
      </c>
      <c r="P82" s="117">
        <f t="shared" si="4"/>
        <v>7150</v>
      </c>
      <c r="Q82" s="115" t="s">
        <v>385</v>
      </c>
      <c r="R82" s="115" t="s">
        <v>238</v>
      </c>
      <c r="S82" s="30" t="s">
        <v>110</v>
      </c>
      <c r="T82" s="115"/>
      <c r="U82" s="115"/>
      <c r="V82" s="115" t="str">
        <f t="shared" si="5"/>
        <v/>
      </c>
      <c r="W82" s="170">
        <f>Tabla2[[#This Row],[Fecha]]-DAY(Tabla2[[#This Row],[Fecha]])+1</f>
        <v>45292</v>
      </c>
      <c r="X82" s="109"/>
    </row>
    <row r="83" spans="1:24" x14ac:dyDescent="0.3">
      <c r="A83">
        <v>1081</v>
      </c>
      <c r="B83" s="108" t="s">
        <v>342</v>
      </c>
      <c r="C83" s="115">
        <v>2023</v>
      </c>
      <c r="D83" s="185">
        <v>45292</v>
      </c>
      <c r="E83" s="115" t="s">
        <v>368</v>
      </c>
      <c r="F83" s="30" t="s">
        <v>626</v>
      </c>
      <c r="G83" s="30"/>
      <c r="H83" s="120">
        <v>45200</v>
      </c>
      <c r="I83" s="115" t="s">
        <v>737</v>
      </c>
      <c r="J83" s="116" t="s">
        <v>629</v>
      </c>
      <c r="K83" s="115">
        <v>3</v>
      </c>
      <c r="L83" s="116" t="s">
        <v>705</v>
      </c>
      <c r="M83" s="117">
        <f>+Tabla2[[#This Row],[Total cuotas]]*0.35</f>
        <v>3500</v>
      </c>
      <c r="N83" s="117">
        <v>10000</v>
      </c>
      <c r="O83" s="118" t="s">
        <v>527</v>
      </c>
      <c r="P83" s="117">
        <f t="shared" si="4"/>
        <v>3500</v>
      </c>
      <c r="Q83" s="115" t="s">
        <v>385</v>
      </c>
      <c r="R83" s="115" t="s">
        <v>238</v>
      </c>
      <c r="S83" s="30" t="s">
        <v>365</v>
      </c>
      <c r="T83" s="115"/>
      <c r="U83" s="115"/>
      <c r="V83" s="115" t="str">
        <f t="shared" si="5"/>
        <v/>
      </c>
      <c r="W83" s="170">
        <f>Tabla2[[#This Row],[Fecha]]-DAY(Tabla2[[#This Row],[Fecha]])+1</f>
        <v>45292</v>
      </c>
      <c r="X83" s="109" t="s">
        <v>630</v>
      </c>
    </row>
    <row r="84" spans="1:24" x14ac:dyDescent="0.3">
      <c r="B84" s="108"/>
      <c r="C84" s="30"/>
      <c r="D84" s="93"/>
      <c r="E84" s="30"/>
      <c r="F84" s="30"/>
      <c r="G84" s="30"/>
      <c r="H84" s="120"/>
      <c r="I84" s="30"/>
      <c r="J84" s="73"/>
      <c r="K84" s="30"/>
      <c r="L84" s="73"/>
      <c r="M84" s="74"/>
      <c r="N84" s="74"/>
      <c r="O84" s="97"/>
      <c r="P84" s="74">
        <f t="shared" si="4"/>
        <v>0</v>
      </c>
      <c r="Q84" s="30"/>
      <c r="R84" s="30"/>
      <c r="S84" s="30"/>
      <c r="T84" s="30"/>
      <c r="U84" s="30"/>
      <c r="V84" s="30" t="str">
        <f t="shared" si="5"/>
        <v/>
      </c>
      <c r="W84" s="120">
        <f>Tabla2[[#This Row],[Fecha]]-DAY(Tabla2[[#This Row],[Fecha]])+1</f>
        <v>1</v>
      </c>
      <c r="X84" s="109"/>
    </row>
    <row r="85" spans="1:24" x14ac:dyDescent="0.3">
      <c r="B85" s="108"/>
      <c r="C85" s="30"/>
      <c r="D85" s="93"/>
      <c r="E85" s="30"/>
      <c r="F85" s="30"/>
      <c r="G85" s="30"/>
      <c r="H85" s="120"/>
      <c r="I85" s="30"/>
      <c r="J85" s="73"/>
      <c r="K85" s="30"/>
      <c r="L85" s="73"/>
      <c r="M85" s="74"/>
      <c r="N85" s="74"/>
      <c r="O85" s="97"/>
      <c r="P85" s="74">
        <f t="shared" si="4"/>
        <v>0</v>
      </c>
      <c r="Q85" s="30"/>
      <c r="R85" s="30"/>
      <c r="S85" s="30"/>
      <c r="T85" s="30"/>
      <c r="U85" s="30"/>
      <c r="V85" s="30" t="str">
        <f t="shared" si="5"/>
        <v/>
      </c>
      <c r="W85" s="120">
        <f>Tabla2[[#This Row],[Fecha]]-DAY(Tabla2[[#This Row],[Fecha]])+1</f>
        <v>1</v>
      </c>
      <c r="X85" s="109"/>
    </row>
    <row r="86" spans="1:24" x14ac:dyDescent="0.3">
      <c r="B86" s="108"/>
      <c r="C86" s="30"/>
      <c r="D86" s="93"/>
      <c r="E86" s="30"/>
      <c r="F86" s="30"/>
      <c r="G86" s="30"/>
      <c r="H86" s="120"/>
      <c r="I86" s="30"/>
      <c r="J86" s="73"/>
      <c r="K86" s="30"/>
      <c r="L86" s="73"/>
      <c r="M86" s="74"/>
      <c r="N86" s="74"/>
      <c r="O86" s="97"/>
      <c r="P86" s="74">
        <f t="shared" si="4"/>
        <v>0</v>
      </c>
      <c r="Q86" s="30"/>
      <c r="R86" s="30"/>
      <c r="S86" s="30"/>
      <c r="T86" s="30"/>
      <c r="U86" s="30"/>
      <c r="V86" s="30" t="str">
        <f t="shared" si="5"/>
        <v/>
      </c>
      <c r="W86" s="120">
        <f>Tabla2[[#This Row],[Fecha]]-DAY(Tabla2[[#This Row],[Fecha]])+1</f>
        <v>1</v>
      </c>
      <c r="X86" s="109"/>
    </row>
    <row r="87" spans="1:24" x14ac:dyDescent="0.3">
      <c r="B87" s="108"/>
      <c r="C87" s="30"/>
      <c r="D87" s="93"/>
      <c r="E87" s="30"/>
      <c r="F87" s="30"/>
      <c r="G87" s="30"/>
      <c r="H87" s="120"/>
      <c r="I87" s="30"/>
      <c r="J87" s="73"/>
      <c r="K87" s="30"/>
      <c r="L87" s="73"/>
      <c r="M87" s="74"/>
      <c r="N87" s="74"/>
      <c r="O87" s="97"/>
      <c r="P87" s="74">
        <f t="shared" si="4"/>
        <v>0</v>
      </c>
      <c r="Q87" s="30"/>
      <c r="R87" s="30"/>
      <c r="S87" s="30"/>
      <c r="T87" s="30"/>
      <c r="U87" s="30"/>
      <c r="V87" s="30" t="str">
        <f t="shared" si="5"/>
        <v/>
      </c>
      <c r="W87" s="120">
        <f>Tabla2[[#This Row],[Fecha]]-DAY(Tabla2[[#This Row],[Fecha]])+1</f>
        <v>1</v>
      </c>
      <c r="X87" s="109"/>
    </row>
    <row r="88" spans="1:24" x14ac:dyDescent="0.3">
      <c r="B88" s="108"/>
      <c r="C88" s="30"/>
      <c r="D88" s="93"/>
      <c r="E88" s="30"/>
      <c r="F88" s="30"/>
      <c r="G88" s="30"/>
      <c r="H88" s="120"/>
      <c r="I88" s="30"/>
      <c r="J88" s="73"/>
      <c r="K88" s="30"/>
      <c r="L88" s="73"/>
      <c r="M88" s="74"/>
      <c r="N88" s="74"/>
      <c r="O88" s="97"/>
      <c r="P88" s="74">
        <f t="shared" si="4"/>
        <v>0</v>
      </c>
      <c r="Q88" s="30"/>
      <c r="R88" s="30"/>
      <c r="S88" s="30"/>
      <c r="T88" s="30"/>
      <c r="U88" s="30"/>
      <c r="V88" s="30" t="str">
        <f t="shared" si="5"/>
        <v/>
      </c>
      <c r="W88" s="120">
        <f>Tabla2[[#This Row],[Fecha]]-DAY(Tabla2[[#This Row],[Fecha]])+1</f>
        <v>1</v>
      </c>
      <c r="X88" s="109"/>
    </row>
    <row r="89" spans="1:24" x14ac:dyDescent="0.3">
      <c r="B89" s="108"/>
      <c r="C89" s="30"/>
      <c r="D89" s="93"/>
      <c r="E89" s="30"/>
      <c r="F89" s="30"/>
      <c r="G89" s="30"/>
      <c r="H89" s="120"/>
      <c r="I89" s="30"/>
      <c r="J89" s="73"/>
      <c r="K89" s="30"/>
      <c r="L89" s="73"/>
      <c r="M89" s="74"/>
      <c r="N89" s="74"/>
      <c r="O89" s="97"/>
      <c r="P89" s="74">
        <f t="shared" si="4"/>
        <v>0</v>
      </c>
      <c r="Q89" s="30"/>
      <c r="R89" s="30"/>
      <c r="S89" s="30"/>
      <c r="T89" s="30"/>
      <c r="U89" s="30"/>
      <c r="V89" s="30" t="str">
        <f t="shared" si="5"/>
        <v/>
      </c>
      <c r="W89" s="120">
        <f>Tabla2[[#This Row],[Fecha]]-DAY(Tabla2[[#This Row],[Fecha]])+1</f>
        <v>1</v>
      </c>
      <c r="X89" s="109"/>
    </row>
    <row r="90" spans="1:24" x14ac:dyDescent="0.3">
      <c r="B90" s="108"/>
      <c r="C90" s="30"/>
      <c r="D90" s="93"/>
      <c r="E90" s="30"/>
      <c r="F90" s="30"/>
      <c r="G90" s="30"/>
      <c r="H90" s="120"/>
      <c r="I90" s="30"/>
      <c r="J90" s="73"/>
      <c r="K90" s="30"/>
      <c r="L90" s="73"/>
      <c r="M90" s="74"/>
      <c r="N90" s="74"/>
      <c r="O90" s="97"/>
      <c r="P90" s="74">
        <f t="shared" si="4"/>
        <v>0</v>
      </c>
      <c r="Q90" s="30"/>
      <c r="R90" s="30"/>
      <c r="S90" s="30"/>
      <c r="T90" s="30"/>
      <c r="U90" s="30"/>
      <c r="V90" s="30" t="str">
        <f t="shared" si="5"/>
        <v/>
      </c>
      <c r="W90" s="120">
        <f>Tabla2[[#This Row],[Fecha]]-DAY(Tabla2[[#This Row],[Fecha]])+1</f>
        <v>1</v>
      </c>
      <c r="X90" s="109"/>
    </row>
    <row r="91" spans="1:24" x14ac:dyDescent="0.3">
      <c r="B91" s="108"/>
      <c r="C91" s="30"/>
      <c r="D91" s="93"/>
      <c r="E91" s="30"/>
      <c r="F91" s="30"/>
      <c r="G91" s="30"/>
      <c r="H91" s="120"/>
      <c r="I91" s="30"/>
      <c r="J91" s="73"/>
      <c r="K91" s="30"/>
      <c r="L91" s="73"/>
      <c r="M91" s="74"/>
      <c r="N91" s="74"/>
      <c r="O91" s="97"/>
      <c r="P91" s="74">
        <f t="shared" si="4"/>
        <v>0</v>
      </c>
      <c r="Q91" s="30"/>
      <c r="R91" s="30"/>
      <c r="S91" s="30"/>
      <c r="T91" s="30"/>
      <c r="U91" s="30"/>
      <c r="V91" s="30" t="str">
        <f t="shared" si="5"/>
        <v/>
      </c>
      <c r="W91" s="120">
        <f>Tabla2[[#This Row],[Fecha]]-DAY(Tabla2[[#This Row],[Fecha]])+1</f>
        <v>1</v>
      </c>
      <c r="X91" s="109"/>
    </row>
    <row r="92" spans="1:24" x14ac:dyDescent="0.3">
      <c r="B92" s="108"/>
      <c r="C92" s="30"/>
      <c r="D92" s="93"/>
      <c r="E92" s="30"/>
      <c r="F92" s="30"/>
      <c r="G92" s="30"/>
      <c r="H92" s="120"/>
      <c r="I92" s="30"/>
      <c r="J92" s="73"/>
      <c r="K92" s="30"/>
      <c r="L92" s="73"/>
      <c r="M92" s="74"/>
      <c r="N92" s="74"/>
      <c r="O92" s="97"/>
      <c r="P92" s="74">
        <f t="shared" si="4"/>
        <v>0</v>
      </c>
      <c r="Q92" s="30"/>
      <c r="R92" s="30"/>
      <c r="S92" s="30"/>
      <c r="T92" s="30"/>
      <c r="U92" s="30"/>
      <c r="V92" s="30" t="str">
        <f t="shared" si="5"/>
        <v/>
      </c>
      <c r="W92" s="120">
        <f>Tabla2[[#This Row],[Fecha]]-DAY(Tabla2[[#This Row],[Fecha]])+1</f>
        <v>1</v>
      </c>
      <c r="X92" s="109"/>
    </row>
    <row r="93" spans="1:24" x14ac:dyDescent="0.3">
      <c r="B93" s="108"/>
      <c r="C93" s="30"/>
      <c r="D93" s="93"/>
      <c r="E93" s="30"/>
      <c r="F93" s="30"/>
      <c r="G93" s="30"/>
      <c r="H93" s="120"/>
      <c r="I93" s="30"/>
      <c r="J93" s="73"/>
      <c r="K93" s="30"/>
      <c r="L93" s="73"/>
      <c r="M93" s="74"/>
      <c r="N93" s="74"/>
      <c r="O93" s="97"/>
      <c r="P93" s="74">
        <f t="shared" si="4"/>
        <v>0</v>
      </c>
      <c r="Q93" s="30"/>
      <c r="R93" s="30"/>
      <c r="S93" s="30"/>
      <c r="T93" s="30"/>
      <c r="U93" s="30"/>
      <c r="V93" s="30" t="str">
        <f t="shared" si="5"/>
        <v/>
      </c>
      <c r="W93" s="120">
        <f>Tabla2[[#This Row],[Fecha]]-DAY(Tabla2[[#This Row],[Fecha]])+1</f>
        <v>1</v>
      </c>
      <c r="X93" s="109"/>
    </row>
    <row r="94" spans="1:24" x14ac:dyDescent="0.3">
      <c r="B94" s="108"/>
      <c r="C94" s="30"/>
      <c r="D94" s="93"/>
      <c r="E94" s="30"/>
      <c r="F94" s="30"/>
      <c r="G94" s="30"/>
      <c r="H94" s="120"/>
      <c r="I94" s="30"/>
      <c r="J94" s="73"/>
      <c r="K94" s="30"/>
      <c r="L94" s="73"/>
      <c r="M94" s="74"/>
      <c r="N94" s="74"/>
      <c r="O94" s="97"/>
      <c r="P94" s="74">
        <f t="shared" si="4"/>
        <v>0</v>
      </c>
      <c r="Q94" s="30"/>
      <c r="R94" s="30"/>
      <c r="S94" s="30"/>
      <c r="T94" s="30"/>
      <c r="U94" s="30"/>
      <c r="V94" s="30" t="str">
        <f t="shared" si="5"/>
        <v/>
      </c>
      <c r="W94" s="120">
        <f>Tabla2[[#This Row],[Fecha]]-DAY(Tabla2[[#This Row],[Fecha]])+1</f>
        <v>1</v>
      </c>
      <c r="X94" s="109"/>
    </row>
    <row r="95" spans="1:24" x14ac:dyDescent="0.3">
      <c r="B95" s="108"/>
      <c r="C95" s="30"/>
      <c r="D95" s="93"/>
      <c r="E95" s="30"/>
      <c r="F95" s="30"/>
      <c r="G95" s="30"/>
      <c r="H95" s="120"/>
      <c r="I95" s="30"/>
      <c r="J95" s="73"/>
      <c r="K95" s="30"/>
      <c r="L95" s="73"/>
      <c r="M95" s="74"/>
      <c r="N95" s="74"/>
      <c r="O95" s="97"/>
      <c r="P95" s="74">
        <f t="shared" si="4"/>
        <v>0</v>
      </c>
      <c r="Q95" s="30"/>
      <c r="R95" s="30"/>
      <c r="S95" s="30"/>
      <c r="T95" s="30"/>
      <c r="U95" s="30"/>
      <c r="V95" s="30" t="str">
        <f t="shared" si="5"/>
        <v/>
      </c>
      <c r="W95" s="120">
        <f>Tabla2[[#This Row],[Fecha]]-DAY(Tabla2[[#This Row],[Fecha]])+1</f>
        <v>1</v>
      </c>
      <c r="X95" s="109"/>
    </row>
    <row r="96" spans="1:24" x14ac:dyDescent="0.3">
      <c r="B96" s="108"/>
      <c r="C96" s="30"/>
      <c r="D96" s="93"/>
      <c r="E96" s="30"/>
      <c r="F96" s="30"/>
      <c r="G96" s="30"/>
      <c r="H96" s="120"/>
      <c r="I96" s="30"/>
      <c r="J96" s="73"/>
      <c r="K96" s="30"/>
      <c r="L96" s="73"/>
      <c r="M96" s="74"/>
      <c r="N96" s="74"/>
      <c r="O96" s="97"/>
      <c r="P96" s="74">
        <f t="shared" si="4"/>
        <v>0</v>
      </c>
      <c r="Q96" s="30"/>
      <c r="R96" s="30"/>
      <c r="S96" s="30"/>
      <c r="T96" s="30"/>
      <c r="U96" s="30"/>
      <c r="V96" s="30" t="str">
        <f t="shared" si="5"/>
        <v/>
      </c>
      <c r="W96" s="120">
        <f>Tabla2[[#This Row],[Fecha]]-DAY(Tabla2[[#This Row],[Fecha]])+1</f>
        <v>1</v>
      </c>
      <c r="X96" s="109"/>
    </row>
    <row r="97" spans="2:24" x14ac:dyDescent="0.3">
      <c r="B97" s="108"/>
      <c r="C97" s="30"/>
      <c r="D97" s="93"/>
      <c r="E97" s="30"/>
      <c r="F97" s="30"/>
      <c r="G97" s="30"/>
      <c r="H97" s="120"/>
      <c r="I97" s="30"/>
      <c r="J97" s="73"/>
      <c r="K97" s="30"/>
      <c r="L97" s="73"/>
      <c r="M97" s="74"/>
      <c r="N97" s="74"/>
      <c r="O97" s="97"/>
      <c r="P97" s="74">
        <f t="shared" si="4"/>
        <v>0</v>
      </c>
      <c r="Q97" s="30"/>
      <c r="R97" s="30"/>
      <c r="S97" s="30"/>
      <c r="T97" s="30"/>
      <c r="U97" s="30"/>
      <c r="V97" s="30" t="str">
        <f t="shared" si="5"/>
        <v/>
      </c>
      <c r="W97" s="120">
        <f>Tabla2[[#This Row],[Fecha]]-DAY(Tabla2[[#This Row],[Fecha]])+1</f>
        <v>1</v>
      </c>
      <c r="X97" s="109"/>
    </row>
    <row r="98" spans="2:24" x14ac:dyDescent="0.3">
      <c r="B98" s="108"/>
      <c r="C98" s="30"/>
      <c r="D98" s="93"/>
      <c r="E98" s="30"/>
      <c r="F98" s="30"/>
      <c r="G98" s="30"/>
      <c r="H98" s="120"/>
      <c r="I98" s="30"/>
      <c r="J98" s="73"/>
      <c r="K98" s="30"/>
      <c r="L98" s="73"/>
      <c r="M98" s="74"/>
      <c r="N98" s="74"/>
      <c r="O98" s="97"/>
      <c r="P98" s="74">
        <f t="shared" si="4"/>
        <v>0</v>
      </c>
      <c r="Q98" s="30"/>
      <c r="R98" s="30"/>
      <c r="S98" s="30"/>
      <c r="T98" s="30"/>
      <c r="U98" s="30"/>
      <c r="V98" s="30" t="str">
        <f t="shared" si="5"/>
        <v/>
      </c>
      <c r="W98" s="120">
        <f>Tabla2[[#This Row],[Fecha]]-DAY(Tabla2[[#This Row],[Fecha]])+1</f>
        <v>1</v>
      </c>
      <c r="X98" s="109"/>
    </row>
    <row r="99" spans="2:24" x14ac:dyDescent="0.3">
      <c r="B99" s="108"/>
      <c r="C99" s="30"/>
      <c r="D99" s="93"/>
      <c r="E99" s="30"/>
      <c r="F99" s="30"/>
      <c r="G99" s="30"/>
      <c r="H99" s="120"/>
      <c r="I99" s="30"/>
      <c r="J99" s="73"/>
      <c r="K99" s="30"/>
      <c r="L99" s="73"/>
      <c r="M99" s="74"/>
      <c r="N99" s="74"/>
      <c r="O99" s="97"/>
      <c r="P99" s="74">
        <f t="shared" ref="P99:P109" si="6">IF(O99="SOL",M99,M99*$J$1)</f>
        <v>0</v>
      </c>
      <c r="Q99" s="30"/>
      <c r="R99" s="30"/>
      <c r="S99" s="30"/>
      <c r="T99" s="30"/>
      <c r="U99" s="30"/>
      <c r="V99" s="30" t="str">
        <f t="shared" ref="V99:V109" si="7">IF(T99="Cancelado",MONTH(D99),"")</f>
        <v/>
      </c>
      <c r="W99" s="120">
        <f>Tabla2[[#This Row],[Fecha]]-DAY(Tabla2[[#This Row],[Fecha]])+1</f>
        <v>1</v>
      </c>
      <c r="X99" s="109"/>
    </row>
    <row r="100" spans="2:24" x14ac:dyDescent="0.3">
      <c r="B100" s="108"/>
      <c r="C100" s="30"/>
      <c r="D100" s="93"/>
      <c r="E100" s="30"/>
      <c r="F100" s="30"/>
      <c r="G100" s="30"/>
      <c r="H100" s="120"/>
      <c r="I100" s="30"/>
      <c r="J100" s="73"/>
      <c r="K100" s="30"/>
      <c r="L100" s="73"/>
      <c r="M100" s="74"/>
      <c r="N100" s="74"/>
      <c r="O100" s="97"/>
      <c r="P100" s="74">
        <f t="shared" si="6"/>
        <v>0</v>
      </c>
      <c r="Q100" s="30"/>
      <c r="R100" s="30"/>
      <c r="S100" s="30"/>
      <c r="T100" s="30"/>
      <c r="U100" s="30"/>
      <c r="V100" s="30" t="str">
        <f t="shared" si="7"/>
        <v/>
      </c>
      <c r="W100" s="120">
        <f>Tabla2[[#This Row],[Fecha]]-DAY(Tabla2[[#This Row],[Fecha]])+1</f>
        <v>1</v>
      </c>
      <c r="X100" s="109"/>
    </row>
    <row r="101" spans="2:24" x14ac:dyDescent="0.3">
      <c r="B101" s="108"/>
      <c r="C101" s="30"/>
      <c r="D101" s="93"/>
      <c r="E101" s="30"/>
      <c r="F101" s="30"/>
      <c r="G101" s="30"/>
      <c r="H101" s="120"/>
      <c r="I101" s="30"/>
      <c r="J101" s="73"/>
      <c r="K101" s="30"/>
      <c r="L101" s="73"/>
      <c r="M101" s="74"/>
      <c r="N101" s="74"/>
      <c r="O101" s="97"/>
      <c r="P101" s="74">
        <f t="shared" si="6"/>
        <v>0</v>
      </c>
      <c r="Q101" s="30"/>
      <c r="R101" s="30"/>
      <c r="S101" s="30"/>
      <c r="T101" s="30"/>
      <c r="U101" s="30"/>
      <c r="V101" s="30" t="str">
        <f t="shared" si="7"/>
        <v/>
      </c>
      <c r="W101" s="120">
        <f>Tabla2[[#This Row],[Fecha]]-DAY(Tabla2[[#This Row],[Fecha]])+1</f>
        <v>1</v>
      </c>
      <c r="X101" s="109"/>
    </row>
    <row r="102" spans="2:24" x14ac:dyDescent="0.3">
      <c r="B102" s="108"/>
      <c r="C102" s="30"/>
      <c r="D102" s="93"/>
      <c r="E102" s="30"/>
      <c r="F102" s="30"/>
      <c r="G102" s="30"/>
      <c r="H102" s="120"/>
      <c r="I102" s="30"/>
      <c r="J102" s="73"/>
      <c r="K102" s="30"/>
      <c r="L102" s="73"/>
      <c r="M102" s="74"/>
      <c r="N102" s="74"/>
      <c r="O102" s="97"/>
      <c r="P102" s="74">
        <f t="shared" si="6"/>
        <v>0</v>
      </c>
      <c r="Q102" s="30"/>
      <c r="R102" s="30"/>
      <c r="S102" s="30"/>
      <c r="T102" s="30"/>
      <c r="U102" s="30"/>
      <c r="V102" s="30" t="str">
        <f t="shared" si="7"/>
        <v/>
      </c>
      <c r="W102" s="120">
        <f>Tabla2[[#This Row],[Fecha]]-DAY(Tabla2[[#This Row],[Fecha]])+1</f>
        <v>1</v>
      </c>
      <c r="X102" s="109"/>
    </row>
    <row r="103" spans="2:24" x14ac:dyDescent="0.3">
      <c r="B103" s="108"/>
      <c r="C103" s="30"/>
      <c r="D103" s="93"/>
      <c r="E103" s="30"/>
      <c r="F103" s="30"/>
      <c r="G103" s="30"/>
      <c r="H103" s="120"/>
      <c r="I103" s="30"/>
      <c r="J103" s="73"/>
      <c r="K103" s="30"/>
      <c r="L103" s="73"/>
      <c r="M103" s="74"/>
      <c r="N103" s="74"/>
      <c r="O103" s="97"/>
      <c r="P103" s="74">
        <f t="shared" si="6"/>
        <v>0</v>
      </c>
      <c r="Q103" s="30"/>
      <c r="R103" s="30"/>
      <c r="S103" s="30"/>
      <c r="T103" s="30"/>
      <c r="U103" s="30"/>
      <c r="V103" s="30" t="str">
        <f t="shared" si="7"/>
        <v/>
      </c>
      <c r="W103" s="120">
        <f>Tabla2[[#This Row],[Fecha]]-DAY(Tabla2[[#This Row],[Fecha]])+1</f>
        <v>1</v>
      </c>
      <c r="X103" s="109"/>
    </row>
    <row r="104" spans="2:24" x14ac:dyDescent="0.3">
      <c r="B104" s="108"/>
      <c r="C104" s="30"/>
      <c r="D104" s="93"/>
      <c r="E104" s="30"/>
      <c r="F104" s="30"/>
      <c r="G104" s="30"/>
      <c r="H104" s="120"/>
      <c r="I104" s="30"/>
      <c r="J104" s="73"/>
      <c r="K104" s="30"/>
      <c r="L104" s="73"/>
      <c r="M104" s="74"/>
      <c r="N104" s="74"/>
      <c r="O104" s="97"/>
      <c r="P104" s="74">
        <f t="shared" si="6"/>
        <v>0</v>
      </c>
      <c r="Q104" s="30"/>
      <c r="R104" s="30"/>
      <c r="S104" s="30"/>
      <c r="T104" s="30"/>
      <c r="U104" s="30"/>
      <c r="V104" s="30" t="str">
        <f t="shared" si="7"/>
        <v/>
      </c>
      <c r="W104" s="120">
        <f>Tabla2[[#This Row],[Fecha]]-DAY(Tabla2[[#This Row],[Fecha]])+1</f>
        <v>1</v>
      </c>
      <c r="X104" s="109"/>
    </row>
    <row r="105" spans="2:24" x14ac:dyDescent="0.3">
      <c r="B105" s="108"/>
      <c r="C105" s="30"/>
      <c r="D105" s="93"/>
      <c r="E105" s="30"/>
      <c r="F105" s="30"/>
      <c r="G105" s="30"/>
      <c r="H105" s="120"/>
      <c r="I105" s="30"/>
      <c r="J105" s="73"/>
      <c r="K105" s="30"/>
      <c r="L105" s="73"/>
      <c r="M105" s="74"/>
      <c r="N105" s="74"/>
      <c r="O105" s="97"/>
      <c r="P105" s="74">
        <f t="shared" si="6"/>
        <v>0</v>
      </c>
      <c r="Q105" s="30"/>
      <c r="R105" s="30"/>
      <c r="S105" s="30"/>
      <c r="T105" s="30"/>
      <c r="U105" s="30"/>
      <c r="V105" s="30" t="str">
        <f t="shared" si="7"/>
        <v/>
      </c>
      <c r="W105" s="120">
        <f>Tabla2[[#This Row],[Fecha]]-DAY(Tabla2[[#This Row],[Fecha]])+1</f>
        <v>1</v>
      </c>
      <c r="X105" s="109"/>
    </row>
    <row r="106" spans="2:24" x14ac:dyDescent="0.3">
      <c r="B106" s="108"/>
      <c r="C106" s="30"/>
      <c r="D106" s="93"/>
      <c r="E106" s="30"/>
      <c r="F106" s="30"/>
      <c r="G106" s="30"/>
      <c r="H106" s="120"/>
      <c r="I106" s="30"/>
      <c r="J106" s="73"/>
      <c r="K106" s="30"/>
      <c r="L106" s="73"/>
      <c r="M106" s="74"/>
      <c r="N106" s="74"/>
      <c r="O106" s="97"/>
      <c r="P106" s="74">
        <f t="shared" si="6"/>
        <v>0</v>
      </c>
      <c r="Q106" s="30"/>
      <c r="R106" s="30"/>
      <c r="S106" s="30"/>
      <c r="T106" s="30"/>
      <c r="U106" s="30"/>
      <c r="V106" s="30" t="str">
        <f t="shared" si="7"/>
        <v/>
      </c>
      <c r="W106" s="120">
        <f>Tabla2[[#This Row],[Fecha]]-DAY(Tabla2[[#This Row],[Fecha]])+1</f>
        <v>1</v>
      </c>
      <c r="X106" s="109"/>
    </row>
    <row r="107" spans="2:24" x14ac:dyDescent="0.3">
      <c r="B107" s="108"/>
      <c r="C107" s="30"/>
      <c r="D107" s="93"/>
      <c r="E107" s="30"/>
      <c r="F107" s="30"/>
      <c r="G107" s="30"/>
      <c r="H107" s="120"/>
      <c r="I107" s="30"/>
      <c r="J107" s="73"/>
      <c r="K107" s="30"/>
      <c r="L107" s="73"/>
      <c r="M107" s="74"/>
      <c r="N107" s="74"/>
      <c r="O107" s="97"/>
      <c r="P107" s="74">
        <f t="shared" si="6"/>
        <v>0</v>
      </c>
      <c r="Q107" s="30"/>
      <c r="R107" s="30"/>
      <c r="S107" s="30"/>
      <c r="T107" s="30"/>
      <c r="U107" s="30"/>
      <c r="V107" s="30" t="str">
        <f t="shared" si="7"/>
        <v/>
      </c>
      <c r="W107" s="120">
        <f>Tabla2[[#This Row],[Fecha]]-DAY(Tabla2[[#This Row],[Fecha]])+1</f>
        <v>1</v>
      </c>
      <c r="X107" s="109"/>
    </row>
    <row r="108" spans="2:24" ht="32.4" customHeight="1" x14ac:dyDescent="0.3">
      <c r="B108" s="108" t="str">
        <f>+""</f>
        <v/>
      </c>
      <c r="C108" s="30"/>
      <c r="D108" s="93"/>
      <c r="E108" s="30"/>
      <c r="F108" s="30"/>
      <c r="G108" s="30"/>
      <c r="H108" s="120"/>
      <c r="I108" s="30"/>
      <c r="J108" s="73"/>
      <c r="K108" s="30"/>
      <c r="L108" s="73"/>
      <c r="M108" s="74"/>
      <c r="N108" s="74"/>
      <c r="O108" s="97"/>
      <c r="P108" s="74">
        <f t="shared" si="6"/>
        <v>0</v>
      </c>
      <c r="Q108" s="30"/>
      <c r="R108" s="30"/>
      <c r="S108" s="30"/>
      <c r="T108" s="30"/>
      <c r="U108" s="30"/>
      <c r="V108" s="30" t="str">
        <f t="shared" si="7"/>
        <v/>
      </c>
      <c r="W108" s="120">
        <f>Tabla2[[#This Row],[Fecha]]-DAY(Tabla2[[#This Row],[Fecha]])+1</f>
        <v>1</v>
      </c>
      <c r="X108" s="109"/>
    </row>
    <row r="109" spans="2:24" ht="25.95" customHeight="1" x14ac:dyDescent="0.3">
      <c r="B109" s="108" t="str">
        <f>+""</f>
        <v/>
      </c>
      <c r="C109" s="30"/>
      <c r="D109" s="93"/>
      <c r="E109" s="30"/>
      <c r="F109" s="30"/>
      <c r="G109" s="30"/>
      <c r="H109" s="120"/>
      <c r="I109" s="30"/>
      <c r="J109" s="73"/>
      <c r="K109" s="30"/>
      <c r="L109" s="73"/>
      <c r="M109" s="74"/>
      <c r="N109" s="74"/>
      <c r="O109" s="97"/>
      <c r="P109" s="74">
        <f t="shared" si="6"/>
        <v>0</v>
      </c>
      <c r="Q109" s="30"/>
      <c r="R109" s="30"/>
      <c r="S109" s="30"/>
      <c r="T109" s="30"/>
      <c r="U109" s="30"/>
      <c r="V109" s="30" t="str">
        <f t="shared" si="7"/>
        <v/>
      </c>
      <c r="W109" s="120">
        <f>Tabla2[[#This Row],[Fecha]]-DAY(Tabla2[[#This Row],[Fecha]])+1</f>
        <v>1</v>
      </c>
      <c r="X109" s="109"/>
    </row>
    <row r="110" spans="2:24" ht="25.95" customHeight="1" x14ac:dyDescent="0.3">
      <c r="B110" s="108"/>
      <c r="C110" s="115"/>
      <c r="D110" s="93"/>
      <c r="E110" s="115"/>
      <c r="F110" s="30"/>
      <c r="G110" s="115"/>
      <c r="H110" s="120"/>
      <c r="I110" s="115"/>
      <c r="J110" s="116"/>
      <c r="K110" s="115"/>
      <c r="L110" s="116"/>
      <c r="M110" s="117"/>
      <c r="N110" s="117"/>
      <c r="O110" s="118"/>
      <c r="P110" s="117"/>
      <c r="Q110" s="115"/>
      <c r="R110" s="115"/>
      <c r="S110" s="30"/>
      <c r="T110" s="115"/>
      <c r="U110" s="115"/>
      <c r="V110" s="115"/>
      <c r="W110" s="170"/>
      <c r="X110" s="109"/>
    </row>
    <row r="111" spans="2:24" x14ac:dyDescent="0.3">
      <c r="B111" s="108"/>
      <c r="C111" s="115"/>
      <c r="D111" s="175"/>
      <c r="E111" s="115"/>
      <c r="F111" s="30"/>
      <c r="G111" s="115"/>
      <c r="H111" s="120"/>
      <c r="I111" s="115"/>
      <c r="J111" s="116"/>
      <c r="K111" s="115"/>
      <c r="L111" s="116"/>
      <c r="M111" s="117"/>
      <c r="N111" s="117"/>
      <c r="O111" s="118"/>
      <c r="P111" s="117"/>
      <c r="Q111" s="115"/>
      <c r="R111" s="115"/>
      <c r="S111" s="30"/>
      <c r="T111" s="115"/>
      <c r="U111" s="115"/>
      <c r="V111" s="115"/>
      <c r="W111" s="170"/>
      <c r="X111" s="109"/>
    </row>
  </sheetData>
  <mergeCells count="2">
    <mergeCell ref="M1:N1"/>
    <mergeCell ref="O1:P1"/>
  </mergeCells>
  <phoneticPr fontId="8" type="noConversion"/>
  <conditionalFormatting sqref="T1:W1 T82:W107 T108:V111 T110:W1048576 T2:V81">
    <cfRule type="cellIs" dxfId="20" priority="1" operator="equal">
      <formula>"Cancelado"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E39C-9D05-4E50-B7F3-3F7DF3860838}">
  <sheetPr>
    <tabColor theme="5"/>
  </sheetPr>
  <dimension ref="A1:P126"/>
  <sheetViews>
    <sheetView topLeftCell="A59" zoomScale="56" workbookViewId="0">
      <selection activeCell="E110" sqref="E110"/>
    </sheetView>
  </sheetViews>
  <sheetFormatPr baseColWidth="10" defaultRowHeight="14.4" x14ac:dyDescent="0.3"/>
  <cols>
    <col min="2" max="2" width="15.6640625" customWidth="1"/>
    <col min="4" max="4" width="15" style="95" bestFit="1" customWidth="1"/>
    <col min="5" max="5" width="13.6640625" bestFit="1" customWidth="1"/>
    <col min="6" max="6" width="16.5546875" customWidth="1"/>
    <col min="7" max="7" width="13.6640625" bestFit="1" customWidth="1"/>
    <col min="8" max="8" width="16.33203125" customWidth="1"/>
    <col min="15" max="15" width="23.5546875" bestFit="1" customWidth="1"/>
    <col min="16" max="16" width="23.109375" bestFit="1" customWidth="1"/>
    <col min="17" max="17" width="8.6640625" bestFit="1" customWidth="1"/>
    <col min="18" max="18" width="3.109375" bestFit="1" customWidth="1"/>
    <col min="19" max="19" width="8.33203125" bestFit="1" customWidth="1"/>
    <col min="20" max="20" width="16.33203125" bestFit="1" customWidth="1"/>
    <col min="21" max="22" width="12.33203125" bestFit="1" customWidth="1"/>
    <col min="23" max="30" width="12.6640625" bestFit="1" customWidth="1"/>
    <col min="31" max="31" width="12.33203125" bestFit="1" customWidth="1"/>
    <col min="32" max="32" width="11.6640625" bestFit="1" customWidth="1"/>
    <col min="33" max="34" width="12.33203125" bestFit="1" customWidth="1"/>
    <col min="35" max="35" width="14.33203125" bestFit="1" customWidth="1"/>
    <col min="36" max="36" width="16.33203125" bestFit="1" customWidth="1"/>
  </cols>
  <sheetData>
    <row r="1" spans="1:16" x14ac:dyDescent="0.3">
      <c r="A1" t="s">
        <v>681</v>
      </c>
      <c r="B1" t="s">
        <v>521</v>
      </c>
      <c r="C1" t="s">
        <v>682</v>
      </c>
      <c r="D1" s="95" t="s">
        <v>320</v>
      </c>
      <c r="E1" t="s">
        <v>684</v>
      </c>
      <c r="F1" t="s">
        <v>685</v>
      </c>
      <c r="G1" t="s">
        <v>67</v>
      </c>
      <c r="H1" t="s">
        <v>683</v>
      </c>
    </row>
    <row r="2" spans="1:16" x14ac:dyDescent="0.3">
      <c r="A2">
        <v>1</v>
      </c>
      <c r="B2" s="29" t="str">
        <f>_xlfn.IFNA(+VLOOKUP(Tabla4[[#This Row],[Llave ]],Proyectos!A:AE,2,FALSE),"")</f>
        <v>P202301</v>
      </c>
      <c r="C2">
        <f>+_xlfn.IFNA(VLOOKUP(Tabla4[[#This Row],[Llave ]],Proyectos!A3:AH124,28,FALSE),"")</f>
        <v>2023</v>
      </c>
      <c r="D2" s="95">
        <f>+_xlfn.IFNA(VLOOKUP(Tabla4[[#This Row],[Llave ]],Proyectos!A:AD,20,FALSE),"")</f>
        <v>23000</v>
      </c>
      <c r="E2" s="119"/>
      <c r="F2" s="172"/>
      <c r="G2" s="119"/>
    </row>
    <row r="3" spans="1:16" x14ac:dyDescent="0.3">
      <c r="A3">
        <v>2</v>
      </c>
      <c r="B3" s="29" t="str">
        <f>_xlfn.IFNA(+VLOOKUP(Tabla4[[#This Row],[Llave ]],Proyectos!A:AE,2,FALSE),"")</f>
        <v>P202302</v>
      </c>
      <c r="C3">
        <f>+_xlfn.IFNA(VLOOKUP(Tabla4[[#This Row],[Llave ]],Proyectos!A4:AH125,28,FALSE),"")</f>
        <v>2023</v>
      </c>
      <c r="D3" s="95">
        <f>+_xlfn.IFNA(VLOOKUP(Tabla4[[#This Row],[Llave ]],Proyectos!A:AD,20,FALSE),"")</f>
        <v>29000</v>
      </c>
      <c r="E3" s="119"/>
      <c r="F3" s="172"/>
      <c r="G3" s="119"/>
    </row>
    <row r="4" spans="1:16" x14ac:dyDescent="0.3">
      <c r="A4">
        <v>3</v>
      </c>
      <c r="B4" s="29" t="str">
        <f>_xlfn.IFNA(+VLOOKUP(Tabla4[[#This Row],[Llave ]],Proyectos!A:AE,2,FALSE),"")</f>
        <v>P202303</v>
      </c>
      <c r="C4">
        <f>+_xlfn.IFNA(VLOOKUP(Tabla4[[#This Row],[Llave ]],Proyectos!A5:AH126,28,FALSE),"")</f>
        <v>2023</v>
      </c>
      <c r="D4" s="95">
        <f>+_xlfn.IFNA(VLOOKUP(Tabla4[[#This Row],[Llave ]],Proyectos!A:AD,20,FALSE),"")</f>
        <v>6000</v>
      </c>
      <c r="E4" s="119"/>
      <c r="F4" s="172"/>
      <c r="G4" s="119"/>
    </row>
    <row r="5" spans="1:16" x14ac:dyDescent="0.3">
      <c r="A5">
        <v>4</v>
      </c>
      <c r="B5" s="29" t="str">
        <f>_xlfn.IFNA(+VLOOKUP(Tabla4[[#This Row],[Llave ]],Proyectos!A:AE,2,FALSE),"")</f>
        <v>P202304</v>
      </c>
      <c r="C5">
        <f>+_xlfn.IFNA(VLOOKUP(Tabla4[[#This Row],[Llave ]],Proyectos!A6:AH127,28,FALSE),"")</f>
        <v>2023</v>
      </c>
      <c r="D5" s="95">
        <f>+_xlfn.IFNA(VLOOKUP(Tabla4[[#This Row],[Llave ]],Proyectos!A:AD,20,FALSE),"")</f>
        <v>2000</v>
      </c>
      <c r="E5" s="119"/>
      <c r="F5" s="172"/>
      <c r="G5" s="119"/>
    </row>
    <row r="6" spans="1:16" x14ac:dyDescent="0.3">
      <c r="A6">
        <v>5</v>
      </c>
      <c r="B6" s="29" t="str">
        <f>_xlfn.IFNA(+VLOOKUP(Tabla4[[#This Row],[Llave ]],Proyectos!A:AE,2,FALSE),"")</f>
        <v>P202305</v>
      </c>
      <c r="C6">
        <f>+_xlfn.IFNA(VLOOKUP(Tabla4[[#This Row],[Llave ]],Proyectos!A7:AH128,28,FALSE),"")</f>
        <v>2023</v>
      </c>
      <c r="D6" s="95">
        <f>+_xlfn.IFNA(VLOOKUP(Tabla4[[#This Row],[Llave ]],Proyectos!A:AD,20,FALSE),"")</f>
        <v>20000</v>
      </c>
      <c r="E6" s="119"/>
      <c r="F6" s="172"/>
      <c r="G6" s="119"/>
    </row>
    <row r="7" spans="1:16" x14ac:dyDescent="0.3">
      <c r="A7">
        <v>6</v>
      </c>
      <c r="B7" s="29" t="str">
        <f>_xlfn.IFNA(+VLOOKUP(Tabla4[[#This Row],[Llave ]],Proyectos!A:AE,2,FALSE),"")</f>
        <v>P202306</v>
      </c>
      <c r="C7">
        <f>+_xlfn.IFNA(VLOOKUP(Tabla4[[#This Row],[Llave ]],Proyectos!A8:AH129,28,FALSE),"")</f>
        <v>2023</v>
      </c>
      <c r="D7" s="95">
        <f>+_xlfn.IFNA(VLOOKUP(Tabla4[[#This Row],[Llave ]],Proyectos!A:AD,20,FALSE),"")</f>
        <v>22500</v>
      </c>
      <c r="E7" s="119"/>
      <c r="F7" s="172"/>
      <c r="G7" s="119"/>
    </row>
    <row r="8" spans="1:16" x14ac:dyDescent="0.3">
      <c r="A8">
        <v>7</v>
      </c>
      <c r="B8" s="29" t="str">
        <f>_xlfn.IFNA(+VLOOKUP(Tabla4[[#This Row],[Llave ]],Proyectos!A:AE,2,FALSE),"")</f>
        <v>P202307</v>
      </c>
      <c r="C8">
        <f>+_xlfn.IFNA(VLOOKUP(Tabla4[[#This Row],[Llave ]],Proyectos!A9:AH130,28,FALSE),"")</f>
        <v>2023</v>
      </c>
      <c r="D8" s="95">
        <f>+_xlfn.IFNA(VLOOKUP(Tabla4[[#This Row],[Llave ]],Proyectos!A:AD,20,FALSE),"")</f>
        <v>22500</v>
      </c>
      <c r="E8" s="119"/>
      <c r="F8" s="172"/>
      <c r="G8" s="119"/>
      <c r="O8" s="99" t="s">
        <v>536</v>
      </c>
      <c r="P8" t="s">
        <v>688</v>
      </c>
    </row>
    <row r="9" spans="1:16" x14ac:dyDescent="0.3">
      <c r="A9">
        <v>8</v>
      </c>
      <c r="B9" s="29" t="str">
        <f>_xlfn.IFNA(+VLOOKUP(Tabla4[[#This Row],[Llave ]],Proyectos!A:AE,2,FALSE),"")</f>
        <v>P202308</v>
      </c>
      <c r="C9">
        <f>+_xlfn.IFNA(VLOOKUP(Tabla4[[#This Row],[Llave ]],Proyectos!A10:AH131,28,FALSE),"")</f>
        <v>2023</v>
      </c>
      <c r="D9" s="95">
        <f>+_xlfn.IFNA(VLOOKUP(Tabla4[[#This Row],[Llave ]],Proyectos!A:AD,20,FALSE),"")</f>
        <v>4000</v>
      </c>
      <c r="E9" s="119"/>
      <c r="F9" s="172"/>
      <c r="G9" s="119"/>
      <c r="O9" s="100">
        <v>2022</v>
      </c>
      <c r="P9">
        <v>77774.999999999985</v>
      </c>
    </row>
    <row r="10" spans="1:16" x14ac:dyDescent="0.3">
      <c r="A10">
        <v>9</v>
      </c>
      <c r="B10" s="29" t="str">
        <f>_xlfn.IFNA(+VLOOKUP(Tabla4[[#This Row],[Llave ]],Proyectos!A:AE,2,FALSE),"")</f>
        <v>P202309</v>
      </c>
      <c r="C10">
        <f>+_xlfn.IFNA(VLOOKUP(Tabla4[[#This Row],[Llave ]],Proyectos!A11:AH132,28,FALSE),"")</f>
        <v>2023</v>
      </c>
      <c r="D10" s="95">
        <f>+_xlfn.IFNA(VLOOKUP(Tabla4[[#This Row],[Llave ]],Proyectos!A:AD,20,FALSE),"")</f>
        <v>20000</v>
      </c>
      <c r="E10" s="119"/>
      <c r="F10" s="172"/>
      <c r="G10" s="119"/>
      <c r="O10" s="100">
        <v>2023</v>
      </c>
      <c r="P10">
        <v>80225</v>
      </c>
    </row>
    <row r="11" spans="1:16" x14ac:dyDescent="0.3">
      <c r="A11">
        <v>10</v>
      </c>
      <c r="B11" s="29" t="str">
        <f>_xlfn.IFNA(+VLOOKUP(Tabla4[[#This Row],[Llave ]],Proyectos!A:AE,2,FALSE),"")</f>
        <v>P202310</v>
      </c>
      <c r="C11">
        <f>+_xlfn.IFNA(VLOOKUP(Tabla4[[#This Row],[Llave ]],Proyectos!A12:AH133,28,FALSE),"")</f>
        <v>2023</v>
      </c>
      <c r="D11" s="95">
        <f>+_xlfn.IFNA(VLOOKUP(Tabla4[[#This Row],[Llave ]],Proyectos!A:AD,20,FALSE),"")</f>
        <v>13000</v>
      </c>
      <c r="E11" s="119"/>
      <c r="F11" s="172"/>
      <c r="G11" s="119"/>
      <c r="O11" s="182">
        <v>44927</v>
      </c>
      <c r="P11">
        <v>1780</v>
      </c>
    </row>
    <row r="12" spans="1:16" x14ac:dyDescent="0.3">
      <c r="A12">
        <v>11</v>
      </c>
      <c r="B12" s="29" t="str">
        <f>_xlfn.IFNA(+VLOOKUP(Tabla4[[#This Row],[Llave ]],Proyectos!A:AE,2,FALSE),"")</f>
        <v>P202311</v>
      </c>
      <c r="C12">
        <f>+_xlfn.IFNA(VLOOKUP(Tabla4[[#This Row],[Llave ]],Proyectos!A13:AH134,28,FALSE),"")</f>
        <v>2023</v>
      </c>
      <c r="D12" s="95">
        <f>+_xlfn.IFNA(VLOOKUP(Tabla4[[#This Row],[Llave ]],Proyectos!A:AD,20,FALSE),"")</f>
        <v>2000</v>
      </c>
      <c r="E12" s="119"/>
      <c r="F12" s="172"/>
      <c r="G12" s="119"/>
      <c r="O12" s="182">
        <v>44958</v>
      </c>
      <c r="P12">
        <v>1200</v>
      </c>
    </row>
    <row r="13" spans="1:16" x14ac:dyDescent="0.3">
      <c r="A13">
        <v>12</v>
      </c>
      <c r="B13" s="29" t="str">
        <f>_xlfn.IFNA(+VLOOKUP(Tabla4[[#This Row],[Llave ]],Proyectos!A:AE,2,FALSE),"")</f>
        <v>P202312</v>
      </c>
      <c r="C13">
        <f>+_xlfn.IFNA(VLOOKUP(Tabla4[[#This Row],[Llave ]],Proyectos!A14:AH135,28,FALSE),"")</f>
        <v>2023</v>
      </c>
      <c r="D13" s="95">
        <f>+_xlfn.IFNA(VLOOKUP(Tabla4[[#This Row],[Llave ]],Proyectos!A:AD,20,FALSE),"")</f>
        <v>10000</v>
      </c>
      <c r="E13" s="119"/>
      <c r="F13" s="172"/>
      <c r="G13" s="119"/>
      <c r="O13" s="182">
        <v>45017</v>
      </c>
      <c r="P13">
        <v>11700</v>
      </c>
    </row>
    <row r="14" spans="1:16" x14ac:dyDescent="0.3">
      <c r="A14">
        <v>13</v>
      </c>
      <c r="B14" s="29" t="str">
        <f>_xlfn.IFNA(+VLOOKUP(Tabla4[[#This Row],[Llave ]],Proyectos!A:AE,2,FALSE),"")</f>
        <v>P202313</v>
      </c>
      <c r="C14">
        <f>+_xlfn.IFNA(VLOOKUP(Tabla4[[#This Row],[Llave ]],Proyectos!A15:AH136,28,FALSE),"")</f>
        <v>2023</v>
      </c>
      <c r="D14" s="95">
        <f>+_xlfn.IFNA(VLOOKUP(Tabla4[[#This Row],[Llave ]],Proyectos!A:AD,20,FALSE),"")</f>
        <v>12000</v>
      </c>
      <c r="E14" s="119"/>
      <c r="F14" s="172"/>
      <c r="G14" s="119"/>
      <c r="O14" s="182">
        <v>45047</v>
      </c>
      <c r="P14">
        <v>6405</v>
      </c>
    </row>
    <row r="15" spans="1:16" x14ac:dyDescent="0.3">
      <c r="A15">
        <v>14</v>
      </c>
      <c r="B15" s="29" t="str">
        <f>_xlfn.IFNA(+VLOOKUP(Tabla4[[#This Row],[Llave ]],Proyectos!A:AE,2,FALSE),"")</f>
        <v>P202314</v>
      </c>
      <c r="C15">
        <f>+_xlfn.IFNA(VLOOKUP(Tabla4[[#This Row],[Llave ]],Proyectos!A16:AH137,28,FALSE),"")</f>
        <v>2023</v>
      </c>
      <c r="D15" s="95">
        <f>+_xlfn.IFNA(VLOOKUP(Tabla4[[#This Row],[Llave ]],Proyectos!A:AD,20,FALSE),"")</f>
        <v>8000</v>
      </c>
      <c r="E15" s="119"/>
      <c r="F15" s="172"/>
      <c r="G15" s="119"/>
      <c r="O15" s="182">
        <v>45078</v>
      </c>
      <c r="P15">
        <v>10990</v>
      </c>
    </row>
    <row r="16" spans="1:16" x14ac:dyDescent="0.3">
      <c r="A16">
        <v>15</v>
      </c>
      <c r="B16" s="29" t="str">
        <f>_xlfn.IFNA(+VLOOKUP(Tabla4[[#This Row],[Llave ]],Proyectos!A:AE,2,FALSE),"")</f>
        <v>P202315</v>
      </c>
      <c r="C16">
        <f>+_xlfn.IFNA(VLOOKUP(Tabla4[[#This Row],[Llave ]],Proyectos!A17:AH138,28,FALSE),"")</f>
        <v>2023</v>
      </c>
      <c r="D16" s="95">
        <f>+_xlfn.IFNA(VLOOKUP(Tabla4[[#This Row],[Llave ]],Proyectos!A:AD,20,FALSE),"")</f>
        <v>5000</v>
      </c>
      <c r="E16" s="119"/>
      <c r="F16" s="172"/>
      <c r="G16" s="119"/>
      <c r="O16" s="182">
        <v>45108</v>
      </c>
      <c r="P16">
        <v>9745</v>
      </c>
    </row>
    <row r="17" spans="1:16" x14ac:dyDescent="0.3">
      <c r="A17">
        <v>16</v>
      </c>
      <c r="B17" s="29" t="str">
        <f>_xlfn.IFNA(+VLOOKUP(Tabla4[[#This Row],[Llave ]],Proyectos!A:AE,2,FALSE),"")</f>
        <v>P202316</v>
      </c>
      <c r="C17">
        <f>+_xlfn.IFNA(VLOOKUP(Tabla4[[#This Row],[Llave ]],Proyectos!A18:AH139,28,FALSE),"")</f>
        <v>2023</v>
      </c>
      <c r="D17" s="95">
        <f>+_xlfn.IFNA(VLOOKUP(Tabla4[[#This Row],[Llave ]],Proyectos!A:AD,20,FALSE),"")</f>
        <v>12000</v>
      </c>
      <c r="E17" s="119"/>
      <c r="F17" s="172"/>
      <c r="G17" s="119"/>
      <c r="O17" s="182">
        <v>45139</v>
      </c>
      <c r="P17">
        <v>5460</v>
      </c>
    </row>
    <row r="18" spans="1:16" x14ac:dyDescent="0.3">
      <c r="A18">
        <v>17</v>
      </c>
      <c r="B18" s="29" t="str">
        <f>_xlfn.IFNA(+VLOOKUP(Tabla4[[#This Row],[Llave ]],Proyectos!A:AE,2,FALSE),"")</f>
        <v>P202317</v>
      </c>
      <c r="C18">
        <f>+_xlfn.IFNA(VLOOKUP(Tabla4[[#This Row],[Llave ]],Proyectos!A19:AH140,28,FALSE),"")</f>
        <v>2023</v>
      </c>
      <c r="D18" s="95">
        <f>+_xlfn.IFNA(VLOOKUP(Tabla4[[#This Row],[Llave ]],Proyectos!A:AD,20,FALSE),"")</f>
        <v>28000</v>
      </c>
      <c r="E18" s="119"/>
      <c r="F18" s="172"/>
      <c r="G18" s="119"/>
      <c r="O18" s="182">
        <v>45170</v>
      </c>
      <c r="P18">
        <v>17710</v>
      </c>
    </row>
    <row r="19" spans="1:16" x14ac:dyDescent="0.3">
      <c r="A19">
        <v>18</v>
      </c>
      <c r="B19" s="29" t="str">
        <f>_xlfn.IFNA(+VLOOKUP(Tabla4[[#This Row],[Llave ]],Proyectos!A:AE,2,FALSE),"")</f>
        <v>P202318</v>
      </c>
      <c r="C19">
        <f>+_xlfn.IFNA(VLOOKUP(Tabla4[[#This Row],[Llave ]],Proyectos!A20:AH141,28,FALSE),"")</f>
        <v>2023</v>
      </c>
      <c r="D19" s="95">
        <f>+_xlfn.IFNA(VLOOKUP(Tabla4[[#This Row],[Llave ]],Proyectos!A:AD,20,FALSE),"")</f>
        <v>5000</v>
      </c>
      <c r="E19" s="119"/>
      <c r="F19" s="172"/>
      <c r="G19" s="119"/>
      <c r="O19" s="182">
        <v>45200</v>
      </c>
      <c r="P19">
        <v>15235</v>
      </c>
    </row>
    <row r="20" spans="1:16" x14ac:dyDescent="0.3">
      <c r="A20">
        <v>19</v>
      </c>
      <c r="B20" s="29" t="str">
        <f>_xlfn.IFNA(+VLOOKUP(Tabla4[[#This Row],[Llave ]],Proyectos!A:AE,2,FALSE),"")</f>
        <v>P202319</v>
      </c>
      <c r="C20">
        <f>+_xlfn.IFNA(VLOOKUP(Tabla4[[#This Row],[Llave ]],Proyectos!A21:AH142,28,FALSE),"")</f>
        <v>2023</v>
      </c>
      <c r="D20" s="95">
        <f>+_xlfn.IFNA(VLOOKUP(Tabla4[[#This Row],[Llave ]],Proyectos!A:AD,20,FALSE),"")</f>
        <v>5000</v>
      </c>
      <c r="E20" s="119"/>
      <c r="F20" s="172"/>
      <c r="G20" s="119"/>
      <c r="O20" s="182">
        <v>45231</v>
      </c>
      <c r="P20">
        <v>0</v>
      </c>
    </row>
    <row r="21" spans="1:16" x14ac:dyDescent="0.3">
      <c r="A21">
        <v>20</v>
      </c>
      <c r="B21" s="29" t="str">
        <f>_xlfn.IFNA(+VLOOKUP(Tabla4[[#This Row],[Llave ]],Proyectos!A:AE,2,FALSE),"")</f>
        <v>P202320</v>
      </c>
      <c r="C21">
        <f>+_xlfn.IFNA(VLOOKUP(Tabla4[[#This Row],[Llave ]],Proyectos!A22:AH143,28,FALSE),"")</f>
        <v>2023</v>
      </c>
      <c r="D21" s="95">
        <f>+_xlfn.IFNA(VLOOKUP(Tabla4[[#This Row],[Llave ]],Proyectos!A:AD,20,FALSE),"")</f>
        <v>7000</v>
      </c>
      <c r="E21" s="119"/>
      <c r="F21" s="172"/>
      <c r="G21" s="119"/>
      <c r="O21" s="182">
        <v>45261</v>
      </c>
      <c r="P21">
        <v>0</v>
      </c>
    </row>
    <row r="22" spans="1:16" x14ac:dyDescent="0.3">
      <c r="B22" s="29" t="str">
        <f>_xlfn.IFNA(+VLOOKUP(Tabla4[[#This Row],[Llave ]],Proyectos!A:AE,2,FALSE),"")</f>
        <v/>
      </c>
      <c r="C22" t="str">
        <f>+_xlfn.IFNA(VLOOKUP(Tabla4[[#This Row],[Llave ]],Proyectos!A23:AH144,28,FALSE),"")</f>
        <v/>
      </c>
      <c r="D22" s="95" t="str">
        <f>+_xlfn.IFNA(VLOOKUP(Tabla4[[#This Row],[Llave ]],Proyectos!A:AD,20,FALSE),"")</f>
        <v/>
      </c>
      <c r="E22" s="119"/>
      <c r="F22" s="172"/>
      <c r="G22" s="119"/>
      <c r="O22" s="182">
        <v>45292</v>
      </c>
      <c r="P22">
        <v>0</v>
      </c>
    </row>
    <row r="23" spans="1:16" x14ac:dyDescent="0.3">
      <c r="B23" s="29" t="str">
        <f>_xlfn.IFNA(+VLOOKUP(Tabla4[[#This Row],[Llave ]],Proyectos!A:AE,2,FALSE),"")</f>
        <v/>
      </c>
      <c r="C23" t="str">
        <f>+_xlfn.IFNA(VLOOKUP(Tabla4[[#This Row],[Llave ]],Proyectos!A24:AH145,28,FALSE),"")</f>
        <v/>
      </c>
      <c r="D23" s="95" t="str">
        <f>+_xlfn.IFNA(VLOOKUP(Tabla4[[#This Row],[Llave ]],Proyectos!A:AD,20,FALSE),"")</f>
        <v/>
      </c>
      <c r="E23" s="119"/>
      <c r="F23" s="172"/>
      <c r="G23" s="119"/>
      <c r="O23" s="183" t="s">
        <v>689</v>
      </c>
    </row>
    <row r="24" spans="1:16" x14ac:dyDescent="0.3">
      <c r="B24" s="29" t="str">
        <f>_xlfn.IFNA(+VLOOKUP(Tabla4[[#This Row],[Llave ]],Proyectos!A:AE,2,FALSE),"")</f>
        <v/>
      </c>
      <c r="C24" t="str">
        <f>+_xlfn.IFNA(VLOOKUP(Tabla4[[#This Row],[Llave ]],Proyectos!A25:AH146,28,FALSE),"")</f>
        <v/>
      </c>
      <c r="D24" s="95" t="str">
        <f>+_xlfn.IFNA(VLOOKUP(Tabla4[[#This Row],[Llave ]],Proyectos!A:AD,20,FALSE),"")</f>
        <v/>
      </c>
      <c r="E24" s="119"/>
      <c r="F24" s="172"/>
      <c r="G24" s="119"/>
      <c r="O24" s="100" t="s">
        <v>706</v>
      </c>
      <c r="P24">
        <v>0</v>
      </c>
    </row>
    <row r="25" spans="1:16" x14ac:dyDescent="0.3">
      <c r="B25" s="29" t="str">
        <f>_xlfn.IFNA(+VLOOKUP(Tabla4[[#This Row],[Llave ]],Proyectos!A:AE,2,FALSE),"")</f>
        <v/>
      </c>
      <c r="C25" t="str">
        <f>+_xlfn.IFNA(VLOOKUP(Tabla4[[#This Row],[Llave ]],Proyectos!A26:AH147,28,FALSE),"")</f>
        <v/>
      </c>
      <c r="D25" s="95" t="str">
        <f>+_xlfn.IFNA(VLOOKUP(Tabla4[[#This Row],[Llave ]],Proyectos!A:AD,20,FALSE),"")</f>
        <v/>
      </c>
      <c r="E25" s="119"/>
      <c r="F25" s="172"/>
      <c r="G25" s="119"/>
      <c r="O25" s="183"/>
      <c r="P25">
        <v>0</v>
      </c>
    </row>
    <row r="26" spans="1:16" x14ac:dyDescent="0.3">
      <c r="B26" s="29" t="str">
        <f>_xlfn.IFNA(+VLOOKUP(Tabla4[[#This Row],[Llave ]],Proyectos!A:AE,2,FALSE),"")</f>
        <v/>
      </c>
      <c r="C26" t="str">
        <f>+_xlfn.IFNA(VLOOKUP(Tabla4[[#This Row],[Llave ]],Proyectos!A27:AH148,28,FALSE),"")</f>
        <v/>
      </c>
      <c r="D26" s="95" t="str">
        <f>+_xlfn.IFNA(VLOOKUP(Tabla4[[#This Row],[Llave ]],Proyectos!A:AD,20,FALSE),"")</f>
        <v/>
      </c>
      <c r="E26" s="119"/>
      <c r="F26" s="172"/>
      <c r="G26" s="119"/>
      <c r="O26" s="183" t="s">
        <v>689</v>
      </c>
    </row>
    <row r="27" spans="1:16" x14ac:dyDescent="0.3">
      <c r="B27" s="29" t="str">
        <f>_xlfn.IFNA(+VLOOKUP(Tabla4[[#This Row],[Llave ]],Proyectos!A:AE,2,FALSE),"")</f>
        <v/>
      </c>
      <c r="C27" t="str">
        <f>+_xlfn.IFNA(VLOOKUP(Tabla4[[#This Row],[Llave ]],Proyectos!A28:AH149,28,FALSE),"")</f>
        <v/>
      </c>
      <c r="D27" s="95" t="str">
        <f>+_xlfn.IFNA(VLOOKUP(Tabla4[[#This Row],[Llave ]],Proyectos!A:AD,20,FALSE),"")</f>
        <v/>
      </c>
      <c r="E27" s="119"/>
      <c r="F27" s="172"/>
      <c r="G27" s="119"/>
      <c r="O27" s="100" t="s">
        <v>321</v>
      </c>
      <c r="P27">
        <v>0</v>
      </c>
    </row>
    <row r="28" spans="1:16" x14ac:dyDescent="0.3">
      <c r="B28" s="29" t="str">
        <f>_xlfn.IFNA(+VLOOKUP(Tabla4[[#This Row],[Llave ]],Proyectos!A:AE,2,FALSE),"")</f>
        <v/>
      </c>
      <c r="C28" t="str">
        <f>+_xlfn.IFNA(VLOOKUP(Tabla4[[#This Row],[Llave ]],Proyectos!A29:AH150,28,FALSE),"")</f>
        <v/>
      </c>
      <c r="D28" s="95" t="str">
        <f>+_xlfn.IFNA(VLOOKUP(Tabla4[[#This Row],[Llave ]],Proyectos!A:AD,20,FALSE),"")</f>
        <v/>
      </c>
      <c r="E28" s="119"/>
      <c r="F28" s="172"/>
      <c r="G28" s="119"/>
      <c r="O28" s="183"/>
      <c r="P28">
        <v>0</v>
      </c>
    </row>
    <row r="29" spans="1:16" x14ac:dyDescent="0.3">
      <c r="B29" s="29" t="str">
        <f>_xlfn.IFNA(+VLOOKUP(Tabla4[[#This Row],[Llave ]],Proyectos!A:AE,2,FALSE),"")</f>
        <v/>
      </c>
      <c r="C29" t="str">
        <f>+_xlfn.IFNA(VLOOKUP(Tabla4[[#This Row],[Llave ]],Proyectos!A30:AH151,28,FALSE),"")</f>
        <v/>
      </c>
      <c r="D29" s="95" t="str">
        <f>+_xlfn.IFNA(VLOOKUP(Tabla4[[#This Row],[Llave ]],Proyectos!A:AD,20,FALSE),"")</f>
        <v/>
      </c>
      <c r="E29" s="119"/>
      <c r="F29" s="172"/>
      <c r="G29" s="119"/>
      <c r="O29" s="100" t="s">
        <v>537</v>
      </c>
      <c r="P29">
        <v>158000</v>
      </c>
    </row>
    <row r="30" spans="1:16" x14ac:dyDescent="0.3">
      <c r="B30" s="29" t="str">
        <f>_xlfn.IFNA(+VLOOKUP(Tabla4[[#This Row],[Llave ]],Proyectos!A:AE,2,FALSE),"")</f>
        <v/>
      </c>
      <c r="C30" t="str">
        <f>+_xlfn.IFNA(VLOOKUP(Tabla4[[#This Row],[Llave ]],Proyectos!A31:AH152,28,FALSE),"")</f>
        <v/>
      </c>
      <c r="D30" s="95" t="str">
        <f>+_xlfn.IFNA(VLOOKUP(Tabla4[[#This Row],[Llave ]],Proyectos!A:AD,20,FALSE),"")</f>
        <v/>
      </c>
      <c r="E30" s="119"/>
      <c r="F30" s="172"/>
      <c r="G30" s="119"/>
    </row>
    <row r="31" spans="1:16" x14ac:dyDescent="0.3">
      <c r="B31" s="29" t="str">
        <f>_xlfn.IFNA(+VLOOKUP(Tabla4[[#This Row],[Llave ]],Proyectos!A:AE,2,FALSE),"")</f>
        <v/>
      </c>
      <c r="C31" t="str">
        <f>+_xlfn.IFNA(VLOOKUP(Tabla4[[#This Row],[Llave ]],Proyectos!A32:AH153,28,FALSE),"")</f>
        <v/>
      </c>
      <c r="D31" s="95" t="str">
        <f>+_xlfn.IFNA(VLOOKUP(Tabla4[[#This Row],[Llave ]],Proyectos!A:AD,20,FALSE),"")</f>
        <v/>
      </c>
      <c r="E31" s="119"/>
      <c r="F31" s="172"/>
      <c r="G31" s="119"/>
    </row>
    <row r="32" spans="1:16" x14ac:dyDescent="0.3">
      <c r="B32" s="29" t="str">
        <f>_xlfn.IFNA(+VLOOKUP(Tabla4[[#This Row],[Llave ]],Proyectos!A:AE,2,FALSE),"")</f>
        <v/>
      </c>
      <c r="C32" t="str">
        <f>+_xlfn.IFNA(VLOOKUP(Tabla4[[#This Row],[Llave ]],Proyectos!A33:AH154,28,FALSE),"")</f>
        <v/>
      </c>
      <c r="D32" s="95" t="str">
        <f>+_xlfn.IFNA(VLOOKUP(Tabla4[[#This Row],[Llave ]],Proyectos!A:AD,20,FALSE),"")</f>
        <v/>
      </c>
      <c r="E32" s="119"/>
      <c r="F32" s="172"/>
      <c r="G32" s="119"/>
    </row>
    <row r="33" spans="1:8" x14ac:dyDescent="0.3">
      <c r="B33" s="29" t="str">
        <f>_xlfn.IFNA(+VLOOKUP(Tabla4[[#This Row],[Llave ]],Proyectos!A:AE,2,FALSE),"")</f>
        <v/>
      </c>
      <c r="C33" t="str">
        <f>+_xlfn.IFNA(VLOOKUP(Tabla4[[#This Row],[Llave ]],Proyectos!A34:AH155,28,FALSE),"")</f>
        <v/>
      </c>
      <c r="D33" s="95" t="str">
        <f>+_xlfn.IFNA(VLOOKUP(Tabla4[[#This Row],[Llave ]],Proyectos!A:AD,20,FALSE),"")</f>
        <v/>
      </c>
      <c r="E33" s="119"/>
      <c r="F33" s="172"/>
      <c r="G33" s="119"/>
    </row>
    <row r="34" spans="1:8" x14ac:dyDescent="0.3">
      <c r="B34" s="29" t="str">
        <f>_xlfn.IFNA(+VLOOKUP(Tabla4[[#This Row],[Llave ]],Proyectos!A:AE,2,FALSE),"")</f>
        <v/>
      </c>
      <c r="C34" t="str">
        <f>+_xlfn.IFNA(VLOOKUP(Tabla4[[#This Row],[Llave ]],Proyectos!A35:AH156,28,FALSE),"")</f>
        <v/>
      </c>
      <c r="D34" s="95" t="str">
        <f>+_xlfn.IFNA(VLOOKUP(Tabla4[[#This Row],[Llave ]],Proyectos!A:AD,20,FALSE),"")</f>
        <v/>
      </c>
      <c r="E34" s="119"/>
      <c r="F34" s="172"/>
      <c r="G34" s="119"/>
    </row>
    <row r="35" spans="1:8" x14ac:dyDescent="0.3">
      <c r="B35" s="29" t="str">
        <f>_xlfn.IFNA(+VLOOKUP(Tabla4[[#This Row],[Llave ]],Proyectos!A:AE,2,FALSE),"")</f>
        <v/>
      </c>
      <c r="C35" t="str">
        <f>+_xlfn.IFNA(VLOOKUP(Tabla4[[#This Row],[Llave ]],Proyectos!A36:AH157,28,FALSE),"")</f>
        <v/>
      </c>
      <c r="D35" s="95" t="str">
        <f>+_xlfn.IFNA(VLOOKUP(Tabla4[[#This Row],[Llave ]],Proyectos!A:AD,20,FALSE),"")</f>
        <v/>
      </c>
      <c r="E35" s="119"/>
      <c r="F35" s="172"/>
      <c r="G35" s="119"/>
    </row>
    <row r="36" spans="1:8" x14ac:dyDescent="0.3">
      <c r="B36" s="29" t="str">
        <f>_xlfn.IFNA(+VLOOKUP(Tabla4[[#This Row],[Llave ]],Proyectos!A:AE,2,FALSE),"")</f>
        <v/>
      </c>
      <c r="C36" t="str">
        <f>+_xlfn.IFNA(VLOOKUP(Tabla4[[#This Row],[Llave ]],Proyectos!A37:AH158,28,FALSE),"")</f>
        <v/>
      </c>
      <c r="D36" s="95" t="str">
        <f>+_xlfn.IFNA(VLOOKUP(Tabla4[[#This Row],[Llave ]],Proyectos!A:AD,20,FALSE),"")</f>
        <v/>
      </c>
      <c r="E36" s="119"/>
      <c r="F36" s="172"/>
      <c r="G36" s="119"/>
    </row>
    <row r="37" spans="1:8" x14ac:dyDescent="0.3">
      <c r="B37" s="29" t="str">
        <f>_xlfn.IFNA(+VLOOKUP(Tabla4[[#This Row],[Llave ]],Proyectos!A:AE,2,FALSE),"")</f>
        <v/>
      </c>
      <c r="C37" t="str">
        <f>+_xlfn.IFNA(VLOOKUP(Tabla4[[#This Row],[Llave ]],Proyectos!A38:AH159,28,FALSE),"")</f>
        <v/>
      </c>
      <c r="D37" s="95" t="str">
        <f>+_xlfn.IFNA(VLOOKUP(Tabla4[[#This Row],[Llave ]],Proyectos!A:AD,20,FALSE),"")</f>
        <v/>
      </c>
      <c r="E37" s="119"/>
      <c r="F37" s="172"/>
      <c r="G37" s="119"/>
    </row>
    <row r="38" spans="1:8" x14ac:dyDescent="0.3">
      <c r="B38" s="29" t="str">
        <f>_xlfn.IFNA(+VLOOKUP(Tabla4[[#This Row],[Llave ]],Proyectos!A:AE,2,FALSE),"")</f>
        <v/>
      </c>
      <c r="C38" t="str">
        <f>+_xlfn.IFNA(VLOOKUP(Tabla4[[#This Row],[Llave ]],Proyectos!A39:AH160,28,FALSE),"")</f>
        <v/>
      </c>
      <c r="D38" s="95" t="str">
        <f>+_xlfn.IFNA(VLOOKUP(Tabla4[[#This Row],[Llave ]],Proyectos!A:AD,20,FALSE),"")</f>
        <v/>
      </c>
      <c r="E38" s="119"/>
      <c r="F38" s="172"/>
      <c r="G38" s="119"/>
    </row>
    <row r="39" spans="1:8" x14ac:dyDescent="0.3">
      <c r="B39" s="29" t="str">
        <f>_xlfn.IFNA(+VLOOKUP(Tabla4[[#This Row],[Llave ]],Proyectos!A:AE,2,FALSE),"")</f>
        <v/>
      </c>
      <c r="C39" t="str">
        <f>+_xlfn.IFNA(VLOOKUP(Tabla4[[#This Row],[Llave ]],Proyectos!A40:AH161,28,FALSE),"")</f>
        <v/>
      </c>
      <c r="D39" s="95" t="str">
        <f>+_xlfn.IFNA(VLOOKUP(Tabla4[[#This Row],[Llave ]],Proyectos!A:AD,20,FALSE),"")</f>
        <v/>
      </c>
      <c r="E39" s="119"/>
      <c r="F39" s="172"/>
      <c r="G39" s="119"/>
    </row>
    <row r="40" spans="1:8" x14ac:dyDescent="0.3">
      <c r="B40" s="29" t="str">
        <f>_xlfn.IFNA(+VLOOKUP(Tabla4[[#This Row],[Llave ]],Proyectos!A:AE,2,FALSE),"")</f>
        <v/>
      </c>
      <c r="C40" t="str">
        <f>+_xlfn.IFNA(VLOOKUP(Tabla4[[#This Row],[Llave ]],Proyectos!A41:AH162,28,FALSE),"")</f>
        <v/>
      </c>
      <c r="E40" s="119"/>
      <c r="F40" s="172"/>
      <c r="G40" s="119"/>
    </row>
    <row r="41" spans="1:8" x14ac:dyDescent="0.3">
      <c r="B41" s="29" t="str">
        <f>_xlfn.IFNA(+VLOOKUP(Tabla4[[#This Row],[Llave ]],Proyectos!A:AE,2,FALSE),"")</f>
        <v/>
      </c>
      <c r="C41" t="str">
        <f>+_xlfn.IFNA(VLOOKUP(Tabla4[[#This Row],[Llave ]],Proyectos!A42:AH163,28,FALSE),"")</f>
        <v/>
      </c>
      <c r="E41" s="119"/>
      <c r="F41" s="172"/>
      <c r="G41" s="119"/>
    </row>
    <row r="42" spans="1:8" x14ac:dyDescent="0.3">
      <c r="B42" s="29" t="str">
        <f>_xlfn.IFNA(+VLOOKUP(Tabla4[[#This Row],[Llave ]],Proyectos!A:AE,2,FALSE),"")</f>
        <v/>
      </c>
      <c r="C42" t="str">
        <f>+_xlfn.IFNA(VLOOKUP(Tabla4[[#This Row],[Llave ]],Proyectos!A43:AH164,28,FALSE),"")</f>
        <v/>
      </c>
      <c r="E42" s="119"/>
      <c r="F42" s="172"/>
      <c r="G42" s="119"/>
    </row>
    <row r="43" spans="1:8" x14ac:dyDescent="0.3">
      <c r="A43">
        <v>1001</v>
      </c>
      <c r="B43" s="171" t="str">
        <f>+_xlfn.IFNA(IF(Facturas!Q3="Cuenta 34: Activo intangible",VLOOKUP(Tabla4[[#This Row],[Llave ]],Facturas!A:V,2,FALSE),"No tiene código"),"")</f>
        <v/>
      </c>
      <c r="C43">
        <f>_xlfn.IFNA(IF(Facturas!Q3="Cuenta 34: Activo intangible",+VLOOKUP(Tabla4[[#This Row],[Llave ]],Facturas!A:D,3,FALSE),"Gasto"),"")</f>
        <v>2022</v>
      </c>
      <c r="E43" s="119">
        <f>IF(Facturas!Q3="Cuenta 34: Activo intangible",+VLOOKUP(Tabla4[[#This Row],[Llave ]],Facturas!A:P,16,FALSE),0)</f>
        <v>7490</v>
      </c>
      <c r="F43" s="173">
        <f>IF(Facturas!Q3="Cuenta 34: Activo intangible",VLOOKUP(Tabla4[[#This Row],[Llave ]],Facturas!A:X,8,FALSE),"")</f>
        <v>0</v>
      </c>
      <c r="G43" s="119">
        <f>IF(Facturas!Q3="Cuenta 34: Activo intangible",IF(OR(Facturas!T3="Cancelado",Facturas!T3="Pendiente"),+VLOOKUP(Tabla4[[#This Row],[Llave ]],Facturas!A:T,16),0),0)</f>
        <v>7490</v>
      </c>
      <c r="H43" s="172">
        <f>IF(Facturas!Q3="Cuenta 34: Activo intangible",VLOOKUP(Tabla4[[#This Row],[Llave ]],Facturas!A:X,23,FALSE),"")</f>
        <v>44652</v>
      </c>
    </row>
    <row r="44" spans="1:8" x14ac:dyDescent="0.3">
      <c r="A44">
        <v>1002</v>
      </c>
      <c r="B44" s="171" t="str">
        <f>+_xlfn.IFNA(IF(Facturas!Q4="Cuenta 34: Activo intangible",VLOOKUP(Tabla4[[#This Row],[Llave ]],Facturas!A:V,2,FALSE),"No tiene código"),"")</f>
        <v/>
      </c>
      <c r="C44">
        <f>_xlfn.IFNA(IF(Facturas!Q4="Cuenta 34: Activo intangible",+VLOOKUP(Tabla4[[#This Row],[Llave ]],Facturas!A:D,3,FALSE),"Gasto"),"")</f>
        <v>2022</v>
      </c>
      <c r="E44" s="119">
        <f>IF(Facturas!Q4="Cuenta 34: Activo intangible",+VLOOKUP(Tabla4[[#This Row],[Llave ]],Facturas!A:P,16,FALSE),0)</f>
        <v>5243</v>
      </c>
      <c r="F44" s="173">
        <f>IF(Facturas!Q4="Cuenta 34: Activo intangible",VLOOKUP(Tabla4[[#This Row],[Llave ]],Facturas!A:X,8,FALSE),"")</f>
        <v>0</v>
      </c>
      <c r="G44" s="119">
        <f>IF(Facturas!Q4="Cuenta 34: Activo intangible",IF(OR(Facturas!T4="Cancelado",Facturas!T4="Pendiente"),+VLOOKUP(Tabla4[[#This Row],[Llave ]],Facturas!A:T,16),0),0)</f>
        <v>5243</v>
      </c>
      <c r="H44" s="172">
        <f>IF(Facturas!Q4="Cuenta 34: Activo intangible",VLOOKUP(Tabla4[[#This Row],[Llave ]],Facturas!A:X,23,FALSE),"")</f>
        <v>44774</v>
      </c>
    </row>
    <row r="45" spans="1:8" x14ac:dyDescent="0.3">
      <c r="A45">
        <v>1003</v>
      </c>
      <c r="B45" s="171" t="str">
        <f>+_xlfn.IFNA(IF(Facturas!Q5="Cuenta 34: Activo intangible",VLOOKUP(Tabla4[[#This Row],[Llave ]],Facturas!A:V,2,FALSE),"No tiene código"),"")</f>
        <v/>
      </c>
      <c r="C45">
        <f>_xlfn.IFNA(IF(Facturas!Q5="Cuenta 34: Activo intangible",+VLOOKUP(Tabla4[[#This Row],[Llave ]],Facturas!A:D,3,FALSE),"Gasto"),"")</f>
        <v>2022</v>
      </c>
      <c r="E45" s="119">
        <f>IF(Facturas!Q5="Cuenta 34: Activo intangible",+VLOOKUP(Tabla4[[#This Row],[Llave ]],Facturas!A:P,16,FALSE),0)</f>
        <v>2320</v>
      </c>
      <c r="F45" s="173">
        <f>IF(Facturas!Q5="Cuenta 34: Activo intangible",VLOOKUP(Tabla4[[#This Row],[Llave ]],Facturas!A:X,8,FALSE),"")</f>
        <v>0</v>
      </c>
      <c r="G45" s="119">
        <f>IF(Facturas!Q5="Cuenta 34: Activo intangible",IF(OR(Facturas!T5="Cancelado",Facturas!T5="Pendiente"),+VLOOKUP(Tabla4[[#This Row],[Llave ]],Facturas!A:T,16),0),0)</f>
        <v>2320</v>
      </c>
      <c r="H45" s="172">
        <f>IF(Facturas!Q5="Cuenta 34: Activo intangible",VLOOKUP(Tabla4[[#This Row],[Llave ]],Facturas!A:X,23,FALSE),"")</f>
        <v>44835</v>
      </c>
    </row>
    <row r="46" spans="1:8" x14ac:dyDescent="0.3">
      <c r="A46">
        <v>1004</v>
      </c>
      <c r="B46" s="171" t="str">
        <f>+_xlfn.IFNA(IF(Facturas!Q6="Cuenta 34: Activo intangible",VLOOKUP(Tabla4[[#This Row],[Llave ]],Facturas!A:V,2,FALSE),"No tiene código"),"")</f>
        <v/>
      </c>
      <c r="C46">
        <f>_xlfn.IFNA(IF(Facturas!Q6="Cuenta 34: Activo intangible",+VLOOKUP(Tabla4[[#This Row],[Llave ]],Facturas!A:D,3,FALSE),"Gasto"),"")</f>
        <v>2022</v>
      </c>
      <c r="E46" s="119">
        <f>IF(Facturas!Q6="Cuenta 34: Activo intangible",+VLOOKUP(Tabla4[[#This Row],[Llave ]],Facturas!A:P,16,FALSE),0)</f>
        <v>2412</v>
      </c>
      <c r="F46" s="173">
        <f>IF(Facturas!Q6="Cuenta 34: Activo intangible",VLOOKUP(Tabla4[[#This Row],[Llave ]],Facturas!A:X,8,FALSE),"")</f>
        <v>0</v>
      </c>
      <c r="G46" s="119">
        <f>IF(Facturas!Q6="Cuenta 34: Activo intangible",IF(OR(Facturas!T6="Cancelado",Facturas!T6="Pendiente"),+VLOOKUP(Tabla4[[#This Row],[Llave ]],Facturas!A:T,16),0),0)</f>
        <v>2412</v>
      </c>
      <c r="H46" s="172">
        <f>IF(Facturas!Q6="Cuenta 34: Activo intangible",VLOOKUP(Tabla4[[#This Row],[Llave ]],Facturas!A:X,23,FALSE),"")</f>
        <v>44835</v>
      </c>
    </row>
    <row r="47" spans="1:8" x14ac:dyDescent="0.3">
      <c r="A47">
        <v>1005</v>
      </c>
      <c r="B47" s="171" t="str">
        <f>+_xlfn.IFNA(IF(Facturas!Q7="Cuenta 34: Activo intangible",VLOOKUP(Tabla4[[#This Row],[Llave ]],Facturas!A:V,2,FALSE),"No tiene código"),"")</f>
        <v/>
      </c>
      <c r="C47">
        <f>_xlfn.IFNA(IF(Facturas!Q7="Cuenta 34: Activo intangible",+VLOOKUP(Tabla4[[#This Row],[Llave ]],Facturas!A:D,3,FALSE),"Gasto"),"")</f>
        <v>2022</v>
      </c>
      <c r="E47" s="119">
        <f>IF(Facturas!Q7="Cuenta 34: Activo intangible",+VLOOKUP(Tabla4[[#This Row],[Llave ]],Facturas!A:P,16,FALSE),0)</f>
        <v>4515</v>
      </c>
      <c r="F47" s="173">
        <f>IF(Facturas!Q7="Cuenta 34: Activo intangible",VLOOKUP(Tabla4[[#This Row],[Llave ]],Facturas!A:X,8,FALSE),"")</f>
        <v>0</v>
      </c>
      <c r="G47" s="119">
        <f>IF(Facturas!Q7="Cuenta 34: Activo intangible",IF(OR(Facturas!T7="Cancelado",Facturas!T7="Pendiente"),+VLOOKUP(Tabla4[[#This Row],[Llave ]],Facturas!A:T,16),0),0)</f>
        <v>4515</v>
      </c>
      <c r="H47" s="172">
        <f>IF(Facturas!Q7="Cuenta 34: Activo intangible",VLOOKUP(Tabla4[[#This Row],[Llave ]],Facturas!A:X,23,FALSE),"")</f>
        <v>44866</v>
      </c>
    </row>
    <row r="48" spans="1:8" x14ac:dyDescent="0.3">
      <c r="A48">
        <v>1006</v>
      </c>
      <c r="B48" s="171" t="str">
        <f>+_xlfn.IFNA(IF(Facturas!Q8="Cuenta 34: Activo intangible",VLOOKUP(Tabla4[[#This Row],[Llave ]],Facturas!A:V,2,FALSE),"No tiene código"),"")</f>
        <v>No tiene código</v>
      </c>
      <c r="C48" t="str">
        <f>_xlfn.IFNA(IF(Facturas!Q8="Cuenta 34: Activo intangible",+VLOOKUP(Tabla4[[#This Row],[Llave ]],Facturas!A:D,3,FALSE),"Gasto"),"")</f>
        <v>Gasto</v>
      </c>
      <c r="E48" s="119">
        <f>IF(Facturas!Q8="Cuenta 34: Activo intangible",+VLOOKUP(Tabla4[[#This Row],[Llave ]],Facturas!A:P,16,FALSE),0)</f>
        <v>0</v>
      </c>
      <c r="F48" s="173" t="str">
        <f>IF(Facturas!Q8="Cuenta 34: Activo intangible",VLOOKUP(Tabla4[[#This Row],[Llave ]],Facturas!A:X,8,FALSE),"")</f>
        <v/>
      </c>
      <c r="G48" s="119">
        <f>IF(Facturas!Q8="Cuenta 34: Activo intangible",IF(OR(Facturas!T8="Cancelado",Facturas!T8="Pendiente"),+VLOOKUP(Tabla4[[#This Row],[Llave ]],Facturas!A:T,16),0),0)</f>
        <v>0</v>
      </c>
      <c r="H48" s="172" t="str">
        <f>IF(Facturas!Q8="Cuenta 34: Activo intangible",VLOOKUP(Tabla4[[#This Row],[Llave ]],Facturas!A:X,23,FALSE),"")</f>
        <v/>
      </c>
    </row>
    <row r="49" spans="1:8" x14ac:dyDescent="0.3">
      <c r="A49">
        <v>1007</v>
      </c>
      <c r="B49" s="171" t="str">
        <f>+_xlfn.IFNA(IF(Facturas!Q9="Cuenta 34: Activo intangible",VLOOKUP(Tabla4[[#This Row],[Llave ]],Facturas!A:V,2,FALSE),"No tiene código"),"")</f>
        <v/>
      </c>
      <c r="C49">
        <f>_xlfn.IFNA(IF(Facturas!Q9="Cuenta 34: Activo intangible",+VLOOKUP(Tabla4[[#This Row],[Llave ]],Facturas!A:D,3,FALSE),"Gasto"),"")</f>
        <v>2022</v>
      </c>
      <c r="E49" s="119">
        <f>IF(Facturas!Q9="Cuenta 34: Activo intangible",+VLOOKUP(Tabla4[[#This Row],[Llave ]],Facturas!A:P,16,FALSE),0)</f>
        <v>2247</v>
      </c>
      <c r="F49" s="173">
        <f>IF(Facturas!Q9="Cuenta 34: Activo intangible",VLOOKUP(Tabla4[[#This Row],[Llave ]],Facturas!A:X,8,FALSE),"")</f>
        <v>0</v>
      </c>
      <c r="G49" s="119">
        <f>IF(Facturas!Q9="Cuenta 34: Activo intangible",IF(OR(Facturas!T9="Cancelado",Facturas!T9="Pendiente"),+VLOOKUP(Tabla4[[#This Row],[Llave ]],Facturas!A:T,16),0),0)</f>
        <v>2247</v>
      </c>
      <c r="H49" s="172">
        <f>IF(Facturas!Q9="Cuenta 34: Activo intangible",VLOOKUP(Tabla4[[#This Row],[Llave ]],Facturas!A:X,23,FALSE),"")</f>
        <v>44866</v>
      </c>
    </row>
    <row r="50" spans="1:8" x14ac:dyDescent="0.3">
      <c r="A50">
        <v>1008</v>
      </c>
      <c r="B50" s="171" t="str">
        <f>+_xlfn.IFNA(IF(Facturas!Q10="Cuenta 34: Activo intangible",VLOOKUP(Tabla4[[#This Row],[Llave ]],Facturas!A:V,2,FALSE),"No tiene código"),"")</f>
        <v>No tiene código</v>
      </c>
      <c r="C50" t="str">
        <f>_xlfn.IFNA(IF(Facturas!Q10="Cuenta 34: Activo intangible",+VLOOKUP(Tabla4[[#This Row],[Llave ]],Facturas!A:D,3,FALSE),"Gasto"),"")</f>
        <v>Gasto</v>
      </c>
      <c r="E50" s="119">
        <f>IF(Facturas!Q10="Cuenta 34: Activo intangible",+VLOOKUP(Tabla4[[#This Row],[Llave ]],Facturas!A:P,16,FALSE),0)</f>
        <v>0</v>
      </c>
      <c r="F50" s="173" t="str">
        <f>IF(Facturas!Q10="Cuenta 34: Activo intangible",VLOOKUP(Tabla4[[#This Row],[Llave ]],Facturas!A:X,8,FALSE),"")</f>
        <v/>
      </c>
      <c r="G50" s="119">
        <f>IF(Facturas!Q10="Cuenta 34: Activo intangible",IF(OR(Facturas!T10="Cancelado",Facturas!T10="Pendiente"),+VLOOKUP(Tabla4[[#This Row],[Llave ]],Facturas!A:T,16),0),0)</f>
        <v>0</v>
      </c>
      <c r="H50" s="172" t="str">
        <f>IF(Facturas!Q10="Cuenta 34: Activo intangible",VLOOKUP(Tabla4[[#This Row],[Llave ]],Facturas!A:X,23,FALSE),"")</f>
        <v/>
      </c>
    </row>
    <row r="51" spans="1:8" x14ac:dyDescent="0.3">
      <c r="A51">
        <v>1009</v>
      </c>
      <c r="B51" s="171" t="str">
        <f>+_xlfn.IFNA(IF(Facturas!Q11="Cuenta 34: Activo intangible",VLOOKUP(Tabla4[[#This Row],[Llave ]],Facturas!A:V,2,FALSE),"No tiene código"),"")</f>
        <v/>
      </c>
      <c r="C51">
        <f>_xlfn.IFNA(IF(Facturas!Q11="Cuenta 34: Activo intangible",+VLOOKUP(Tabla4[[#This Row],[Llave ]],Facturas!A:D,3,FALSE),"Gasto"),"")</f>
        <v>2022</v>
      </c>
      <c r="E51" s="119">
        <f>IF(Facturas!Q11="Cuenta 34: Activo intangible",+VLOOKUP(Tabla4[[#This Row],[Llave ]],Facturas!A:P,16,FALSE),0)</f>
        <v>960</v>
      </c>
      <c r="F51" s="173">
        <f>IF(Facturas!Q11="Cuenta 34: Activo intangible",VLOOKUP(Tabla4[[#This Row],[Llave ]],Facturas!A:X,8,FALSE),"")</f>
        <v>0</v>
      </c>
      <c r="G51" s="119">
        <f>IF(Facturas!Q11="Cuenta 34: Activo intangible",IF(OR(Facturas!T11="Cancelado",Facturas!T11="Pendiente"),+VLOOKUP(Tabla4[[#This Row],[Llave ]],Facturas!A:T,16),0),0)</f>
        <v>960</v>
      </c>
      <c r="H51" s="172">
        <f>IF(Facturas!Q11="Cuenta 34: Activo intangible",VLOOKUP(Tabla4[[#This Row],[Llave ]],Facturas!A:X,23,FALSE),"")</f>
        <v>44866</v>
      </c>
    </row>
    <row r="52" spans="1:8" x14ac:dyDescent="0.3">
      <c r="A52">
        <v>1010</v>
      </c>
      <c r="B52" s="171" t="str">
        <f>+_xlfn.IFNA(IF(Facturas!Q12="Cuenta 34: Activo intangible",VLOOKUP(Tabla4[[#This Row],[Llave ]],Facturas!A:V,2,FALSE),"No tiene código"),"")</f>
        <v/>
      </c>
      <c r="C52">
        <f>_xlfn.IFNA(IF(Facturas!Q12="Cuenta 34: Activo intangible",+VLOOKUP(Tabla4[[#This Row],[Llave ]],Facturas!A:D,3,FALSE),"Gasto"),"")</f>
        <v>2022</v>
      </c>
      <c r="E52" s="119">
        <f>IF(Facturas!Q12="Cuenta 34: Activo intangible",+VLOOKUP(Tabla4[[#This Row],[Llave ]],Facturas!A:P,16,FALSE),0)</f>
        <v>2420</v>
      </c>
      <c r="F52" s="173">
        <f>IF(Facturas!Q12="Cuenta 34: Activo intangible",VLOOKUP(Tabla4[[#This Row],[Llave ]],Facturas!A:X,8,FALSE),"")</f>
        <v>0</v>
      </c>
      <c r="G52" s="119">
        <f>IF(Facturas!Q12="Cuenta 34: Activo intangible",IF(OR(Facturas!T12="Cancelado",Facturas!T12="Pendiente"),+VLOOKUP(Tabla4[[#This Row],[Llave ]],Facturas!A:T,16),0),0)</f>
        <v>2420</v>
      </c>
      <c r="H52" s="172">
        <f>IF(Facturas!Q12="Cuenta 34: Activo intangible",VLOOKUP(Tabla4[[#This Row],[Llave ]],Facturas!A:X,23,FALSE),"")</f>
        <v>44866</v>
      </c>
    </row>
    <row r="53" spans="1:8" x14ac:dyDescent="0.3">
      <c r="A53">
        <v>1011</v>
      </c>
      <c r="B53" s="171" t="str">
        <f>+_xlfn.IFNA(IF(Facturas!Q13="Cuenta 34: Activo intangible",VLOOKUP(Tabla4[[#This Row],[Llave ]],Facturas!A:V,2,FALSE),"No tiene código"),"")</f>
        <v/>
      </c>
      <c r="C53">
        <f>_xlfn.IFNA(IF(Facturas!Q13="Cuenta 34: Activo intangible",+VLOOKUP(Tabla4[[#This Row],[Llave ]],Facturas!A:D,3,FALSE),"Gasto"),"")</f>
        <v>2022</v>
      </c>
      <c r="E53" s="119">
        <f>IF(Facturas!Q13="Cuenta 34: Activo intangible",+VLOOKUP(Tabla4[[#This Row],[Llave ]],Facturas!A:P,16,FALSE),0)</f>
        <v>2814</v>
      </c>
      <c r="F53" s="173">
        <f>IF(Facturas!Q13="Cuenta 34: Activo intangible",VLOOKUP(Tabla4[[#This Row],[Llave ]],Facturas!A:X,8,FALSE),"")</f>
        <v>0</v>
      </c>
      <c r="G53" s="119">
        <f>IF(Facturas!Q13="Cuenta 34: Activo intangible",IF(OR(Facturas!T13="Cancelado",Facturas!T13="Pendiente"),+VLOOKUP(Tabla4[[#This Row],[Llave ]],Facturas!A:T,16),0),0)</f>
        <v>2814</v>
      </c>
      <c r="H53" s="172">
        <f>IF(Facturas!Q13="Cuenta 34: Activo intangible",VLOOKUP(Tabla4[[#This Row],[Llave ]],Facturas!A:X,23,FALSE),"")</f>
        <v>44866</v>
      </c>
    </row>
    <row r="54" spans="1:8" x14ac:dyDescent="0.3">
      <c r="A54">
        <v>1012</v>
      </c>
      <c r="B54" s="171" t="str">
        <f>+_xlfn.IFNA(IF(Facturas!Q14="Cuenta 34: Activo intangible",VLOOKUP(Tabla4[[#This Row],[Llave ]],Facturas!A:V,2,FALSE),"No tiene código"),"")</f>
        <v/>
      </c>
      <c r="C54">
        <f>_xlfn.IFNA(IF(Facturas!Q14="Cuenta 34: Activo intangible",+VLOOKUP(Tabla4[[#This Row],[Llave ]],Facturas!A:D,3,FALSE),"Gasto"),"")</f>
        <v>2022</v>
      </c>
      <c r="E54" s="119">
        <f>IF(Facturas!Q14="Cuenta 34: Activo intangible",+VLOOKUP(Tabla4[[#This Row],[Llave ]],Facturas!A:P,16,FALSE),0)</f>
        <v>3210</v>
      </c>
      <c r="F54" s="173">
        <f>IF(Facturas!Q14="Cuenta 34: Activo intangible",VLOOKUP(Tabla4[[#This Row],[Llave ]],Facturas!A:X,8,FALSE),"")</f>
        <v>0</v>
      </c>
      <c r="G54" s="119">
        <f>IF(Facturas!Q14="Cuenta 34: Activo intangible",IF(OR(Facturas!T14="Cancelado",Facturas!T14="Pendiente"),+VLOOKUP(Tabla4[[#This Row],[Llave ]],Facturas!A:T,16),0),0)</f>
        <v>3210</v>
      </c>
      <c r="H54" s="172">
        <f>IF(Facturas!Q14="Cuenta 34: Activo intangible",VLOOKUP(Tabla4[[#This Row],[Llave ]],Facturas!A:X,23,FALSE),"")</f>
        <v>44866</v>
      </c>
    </row>
    <row r="55" spans="1:8" x14ac:dyDescent="0.3">
      <c r="A55">
        <v>1013</v>
      </c>
      <c r="B55" s="171" t="str">
        <f>+_xlfn.IFNA(IF(Facturas!Q15="Cuenta 34: Activo intangible",VLOOKUP(Tabla4[[#This Row],[Llave ]],Facturas!A:V,2,FALSE),"No tiene código"),"")</f>
        <v>No tiene código</v>
      </c>
      <c r="C55" t="str">
        <f>_xlfn.IFNA(IF(Facturas!Q15="Cuenta 34: Activo intangible",+VLOOKUP(Tabla4[[#This Row],[Llave ]],Facturas!A:D,3,FALSE),"Gasto"),"")</f>
        <v>Gasto</v>
      </c>
      <c r="E55" s="119">
        <f>IF(Facturas!Q15="Cuenta 34: Activo intangible",+VLOOKUP(Tabla4[[#This Row],[Llave ]],Facturas!A:P,16,FALSE),0)</f>
        <v>0</v>
      </c>
      <c r="F55" s="173" t="str">
        <f>IF(Facturas!Q15="Cuenta 34: Activo intangible",VLOOKUP(Tabla4[[#This Row],[Llave ]],Facturas!A:X,8,FALSE),"")</f>
        <v/>
      </c>
      <c r="G55" s="119">
        <f>IF(Facturas!Q15="Cuenta 34: Activo intangible",IF(OR(Facturas!T15="Cancelado",Facturas!T15="Pendiente"),+VLOOKUP(Tabla4[[#This Row],[Llave ]],Facturas!A:T,16),0),0)</f>
        <v>0</v>
      </c>
      <c r="H55" s="172" t="str">
        <f>IF(Facturas!Q15="Cuenta 34: Activo intangible",VLOOKUP(Tabla4[[#This Row],[Llave ]],Facturas!A:X,23,FALSE),"")</f>
        <v/>
      </c>
    </row>
    <row r="56" spans="1:8" x14ac:dyDescent="0.3">
      <c r="A56">
        <v>1014</v>
      </c>
      <c r="B56" s="171" t="str">
        <f>+_xlfn.IFNA(IF(Facturas!Q16="Cuenta 34: Activo intangible",VLOOKUP(Tabla4[[#This Row],[Llave ]],Facturas!A:V,2,FALSE),"No tiene código"),"")</f>
        <v/>
      </c>
      <c r="C56">
        <f>_xlfn.IFNA(IF(Facturas!Q16="Cuenta 34: Activo intangible",+VLOOKUP(Tabla4[[#This Row],[Llave ]],Facturas!A:D,3,FALSE),"Gasto"),"")</f>
        <v>2022</v>
      </c>
      <c r="E56" s="119">
        <f>IF(Facturas!Q16="Cuenta 34: Activo intangible",+VLOOKUP(Tabla4[[#This Row],[Llave ]],Facturas!A:P,16,FALSE),0)</f>
        <v>2814</v>
      </c>
      <c r="F56" s="173">
        <f>IF(Facturas!Q16="Cuenta 34: Activo intangible",VLOOKUP(Tabla4[[#This Row],[Llave ]],Facturas!A:X,8,FALSE),"")</f>
        <v>0</v>
      </c>
      <c r="G56" s="119">
        <f>IF(Facturas!Q16="Cuenta 34: Activo intangible",IF(OR(Facturas!T16="Cancelado",Facturas!T16="Pendiente"),+VLOOKUP(Tabla4[[#This Row],[Llave ]],Facturas!A:T,16),0),0)</f>
        <v>2814</v>
      </c>
      <c r="H56" s="172">
        <f>IF(Facturas!Q16="Cuenta 34: Activo intangible",VLOOKUP(Tabla4[[#This Row],[Llave ]],Facturas!A:X,23,FALSE),"")</f>
        <v>44896</v>
      </c>
    </row>
    <row r="57" spans="1:8" x14ac:dyDescent="0.3">
      <c r="A57">
        <v>1015</v>
      </c>
      <c r="B57" s="171" t="str">
        <f>+_xlfn.IFNA(IF(Facturas!Q17="Cuenta 34: Activo intangible",VLOOKUP(Tabla4[[#This Row],[Llave ]],Facturas!A:V,2,FALSE),"No tiene código"),"")</f>
        <v/>
      </c>
      <c r="C57">
        <f>_xlfn.IFNA(IF(Facturas!Q17="Cuenta 34: Activo intangible",+VLOOKUP(Tabla4[[#This Row],[Llave ]],Facturas!A:D,3,FALSE),"Gasto"),"")</f>
        <v>2022</v>
      </c>
      <c r="E57" s="119">
        <f>IF(Facturas!Q17="Cuenta 34: Activo intangible",+VLOOKUP(Tabla4[[#This Row],[Llave ]],Facturas!A:P,16,FALSE),0)</f>
        <v>2496.67</v>
      </c>
      <c r="F57" s="173">
        <f>IF(Facturas!Q17="Cuenta 34: Activo intangible",VLOOKUP(Tabla4[[#This Row],[Llave ]],Facturas!A:X,8,FALSE),"")</f>
        <v>0</v>
      </c>
      <c r="G57" s="119">
        <f>IF(Facturas!Q17="Cuenta 34: Activo intangible",IF(OR(Facturas!T17="Cancelado",Facturas!T17="Pendiente"),+VLOOKUP(Tabla4[[#This Row],[Llave ]],Facturas!A:T,16),0),0)</f>
        <v>2496.67</v>
      </c>
      <c r="H57" s="172">
        <f>IF(Facturas!Q17="Cuenta 34: Activo intangible",VLOOKUP(Tabla4[[#This Row],[Llave ]],Facturas!A:X,23,FALSE),"")</f>
        <v>44896</v>
      </c>
    </row>
    <row r="58" spans="1:8" x14ac:dyDescent="0.3">
      <c r="A58">
        <v>1016</v>
      </c>
      <c r="B58" s="171" t="str">
        <f>+_xlfn.IFNA(IF(Facturas!Q18="Cuenta 34: Activo intangible",VLOOKUP(Tabla4[[#This Row],[Llave ]],Facturas!A:V,2,FALSE),"No tiene código"),"")</f>
        <v/>
      </c>
      <c r="C58">
        <f>_xlfn.IFNA(IF(Facturas!Q18="Cuenta 34: Activo intangible",+VLOOKUP(Tabla4[[#This Row],[Llave ]],Facturas!A:D,3,FALSE),"Gasto"),"")</f>
        <v>2022</v>
      </c>
      <c r="E58" s="119">
        <f>IF(Facturas!Q18="Cuenta 34: Activo intangible",+VLOOKUP(Tabla4[[#This Row],[Llave ]],Facturas!A:P,16,FALSE),0)</f>
        <v>1780</v>
      </c>
      <c r="F58" s="173">
        <f>IF(Facturas!Q18="Cuenta 34: Activo intangible",VLOOKUP(Tabla4[[#This Row],[Llave ]],Facturas!A:X,8,FALSE),"")</f>
        <v>0</v>
      </c>
      <c r="G58" s="119">
        <f>IF(Facturas!Q18="Cuenta 34: Activo intangible",IF(OR(Facturas!T18="Cancelado",Facturas!T18="Pendiente"),+VLOOKUP(Tabla4[[#This Row],[Llave ]],Facturas!A:T,16),0),0)</f>
        <v>1780</v>
      </c>
      <c r="H58" s="172">
        <f>IF(Facturas!Q18="Cuenta 34: Activo intangible",VLOOKUP(Tabla4[[#This Row],[Llave ]],Facturas!A:X,23,FALSE),"")</f>
        <v>44896</v>
      </c>
    </row>
    <row r="59" spans="1:8" x14ac:dyDescent="0.3">
      <c r="A59">
        <v>1017</v>
      </c>
      <c r="B59" s="171" t="str">
        <f>+_xlfn.IFNA(IF(Facturas!Q19="Cuenta 34: Activo intangible",VLOOKUP(Tabla4[[#This Row],[Llave ]],Facturas!A:V,2,FALSE),"No tiene código"),"")</f>
        <v/>
      </c>
      <c r="C59">
        <f>_xlfn.IFNA(IF(Facturas!Q19="Cuenta 34: Activo intangible",+VLOOKUP(Tabla4[[#This Row],[Llave ]],Facturas!A:D,3,FALSE),"Gasto"),"")</f>
        <v>2022</v>
      </c>
      <c r="E59" s="119">
        <f>IF(Facturas!Q19="Cuenta 34: Activo intangible",+VLOOKUP(Tabla4[[#This Row],[Llave ]],Facturas!A:P,16,FALSE),0)</f>
        <v>3000</v>
      </c>
      <c r="F59" s="173">
        <f>IF(Facturas!Q19="Cuenta 34: Activo intangible",VLOOKUP(Tabla4[[#This Row],[Llave ]],Facturas!A:X,8,FALSE),"")</f>
        <v>0</v>
      </c>
      <c r="G59" s="119">
        <f>IF(Facturas!Q19="Cuenta 34: Activo intangible",IF(OR(Facturas!T19="Cancelado",Facturas!T19="Pendiente"),+VLOOKUP(Tabla4[[#This Row],[Llave ]],Facturas!A:T,16),0),0)</f>
        <v>3000</v>
      </c>
      <c r="H59" s="172">
        <f>IF(Facturas!Q19="Cuenta 34: Activo intangible",VLOOKUP(Tabla4[[#This Row],[Llave ]],Facturas!A:X,23,FALSE),"")</f>
        <v>44896</v>
      </c>
    </row>
    <row r="60" spans="1:8" x14ac:dyDescent="0.3">
      <c r="A60">
        <v>1018</v>
      </c>
      <c r="B60" s="171" t="str">
        <f>+_xlfn.IFNA(IF(Facturas!Q20="Cuenta 34: Activo intangible",VLOOKUP(Tabla4[[#This Row],[Llave ]],Facturas!A:V,2,FALSE),"No tiene código"),"")</f>
        <v/>
      </c>
      <c r="C60">
        <f>_xlfn.IFNA(IF(Facturas!Q20="Cuenta 34: Activo intangible",+VLOOKUP(Tabla4[[#This Row],[Llave ]],Facturas!A:D,3,FALSE),"Gasto"),"")</f>
        <v>2022</v>
      </c>
      <c r="E60" s="119">
        <f>IF(Facturas!Q20="Cuenta 34: Activo intangible",+VLOOKUP(Tabla4[[#This Row],[Llave ]],Facturas!A:P,16,FALSE),0)</f>
        <v>840</v>
      </c>
      <c r="F60" s="173">
        <f>IF(Facturas!Q20="Cuenta 34: Activo intangible",VLOOKUP(Tabla4[[#This Row],[Llave ]],Facturas!A:X,8,FALSE),"")</f>
        <v>0</v>
      </c>
      <c r="G60" s="119">
        <f>IF(Facturas!Q20="Cuenta 34: Activo intangible",IF(OR(Facturas!T20="Cancelado",Facturas!T20="Pendiente"),+VLOOKUP(Tabla4[[#This Row],[Llave ]],Facturas!A:T,16),0),0)</f>
        <v>840</v>
      </c>
      <c r="H60" s="172">
        <f>IF(Facturas!Q20="Cuenta 34: Activo intangible",VLOOKUP(Tabla4[[#This Row],[Llave ]],Facturas!A:X,23,FALSE),"")</f>
        <v>44896</v>
      </c>
    </row>
    <row r="61" spans="1:8" x14ac:dyDescent="0.3">
      <c r="A61">
        <v>1019</v>
      </c>
      <c r="B61" s="171" t="str">
        <f>+_xlfn.IFNA(IF(Facturas!Q21="Cuenta 34: Activo intangible",VLOOKUP(Tabla4[[#This Row],[Llave ]],Facturas!A:V,2,FALSE),"No tiene código"),"")</f>
        <v>No tiene código</v>
      </c>
      <c r="C61" t="str">
        <f>_xlfn.IFNA(IF(Facturas!Q21="Cuenta 34: Activo intangible",+VLOOKUP(Tabla4[[#This Row],[Llave ]],Facturas!A:D,3,FALSE),"Gasto"),"")</f>
        <v>Gasto</v>
      </c>
      <c r="E61" s="119">
        <f>IF(Facturas!Q21="Cuenta 34: Activo intangible",+VLOOKUP(Tabla4[[#This Row],[Llave ]],Facturas!A:P,16,FALSE),0)</f>
        <v>0</v>
      </c>
      <c r="F61" s="173" t="str">
        <f>IF(Facturas!Q21="Cuenta 34: Activo intangible",VLOOKUP(Tabla4[[#This Row],[Llave ]],Facturas!A:X,8,FALSE),"")</f>
        <v/>
      </c>
      <c r="G61" s="119">
        <f>IF(Facturas!Q21="Cuenta 34: Activo intangible",IF(OR(Facturas!T21="Cancelado",Facturas!T21="Pendiente"),+VLOOKUP(Tabla4[[#This Row],[Llave ]],Facturas!A:T,16),0),0)</f>
        <v>0</v>
      </c>
      <c r="H61" s="172" t="str">
        <f>IF(Facturas!Q21="Cuenta 34: Activo intangible",VLOOKUP(Tabla4[[#This Row],[Llave ]],Facturas!A:X,23,FALSE),"")</f>
        <v/>
      </c>
    </row>
    <row r="62" spans="1:8" x14ac:dyDescent="0.3">
      <c r="A62">
        <v>1020</v>
      </c>
      <c r="B62" s="171" t="str">
        <f>+_xlfn.IFNA(IF(Facturas!Q22="Cuenta 34: Activo intangible",VLOOKUP(Tabla4[[#This Row],[Llave ]],Facturas!A:V,2,FALSE),"No tiene código"),"")</f>
        <v/>
      </c>
      <c r="C62">
        <f>_xlfn.IFNA(IF(Facturas!Q22="Cuenta 34: Activo intangible",+VLOOKUP(Tabla4[[#This Row],[Llave ]],Facturas!A:D,3,FALSE),"Gasto"),"")</f>
        <v>2022</v>
      </c>
      <c r="E62" s="119">
        <f>IF(Facturas!Q22="Cuenta 34: Activo intangible",+VLOOKUP(Tabla4[[#This Row],[Llave ]],Facturas!A:P,16,FALSE),0)</f>
        <v>2496.67</v>
      </c>
      <c r="F62" s="173">
        <f>IF(Facturas!Q22="Cuenta 34: Activo intangible",VLOOKUP(Tabla4[[#This Row],[Llave ]],Facturas!A:X,8,FALSE),"")</f>
        <v>0</v>
      </c>
      <c r="G62" s="119">
        <f>IF(Facturas!Q22="Cuenta 34: Activo intangible",IF(OR(Facturas!T22="Cancelado",Facturas!T22="Pendiente"),+VLOOKUP(Tabla4[[#This Row],[Llave ]],Facturas!A:T,16),0),0)</f>
        <v>2496.67</v>
      </c>
      <c r="H62" s="172">
        <f>IF(Facturas!Q22="Cuenta 34: Activo intangible",VLOOKUP(Tabla4[[#This Row],[Llave ]],Facturas!A:X,23,FALSE),"")</f>
        <v>44927</v>
      </c>
    </row>
    <row r="63" spans="1:8" x14ac:dyDescent="0.3">
      <c r="A63">
        <v>1021</v>
      </c>
      <c r="B63" s="171" t="str">
        <f>+_xlfn.IFNA(IF(Facturas!Q23="Cuenta 34: Activo intangible",VLOOKUP(Tabla4[[#This Row],[Llave ]],Facturas!A:V,2,FALSE),"No tiene código"),"")</f>
        <v/>
      </c>
      <c r="C63">
        <f>_xlfn.IFNA(IF(Facturas!Q23="Cuenta 34: Activo intangible",+VLOOKUP(Tabla4[[#This Row],[Llave ]],Facturas!A:D,3,FALSE),"Gasto"),"")</f>
        <v>2022</v>
      </c>
      <c r="E63" s="119">
        <f>IF(Facturas!Q23="Cuenta 34: Activo intangible",+VLOOKUP(Tabla4[[#This Row],[Llave ]],Facturas!A:P,16,FALSE),0)</f>
        <v>2333.33</v>
      </c>
      <c r="F63" s="173">
        <f>IF(Facturas!Q23="Cuenta 34: Activo intangible",VLOOKUP(Tabla4[[#This Row],[Llave ]],Facturas!A:X,8,FALSE),"")</f>
        <v>0</v>
      </c>
      <c r="G63" s="119">
        <f>IF(Facturas!Q23="Cuenta 34: Activo intangible",IF(OR(Facturas!T23="Cancelado",Facturas!T23="Pendiente"),+VLOOKUP(Tabla4[[#This Row],[Llave ]],Facturas!A:T,16),0),0)</f>
        <v>2333.33</v>
      </c>
      <c r="H63" s="172">
        <f>IF(Facturas!Q23="Cuenta 34: Activo intangible",VLOOKUP(Tabla4[[#This Row],[Llave ]],Facturas!A:X,23,FALSE),"")</f>
        <v>44927</v>
      </c>
    </row>
    <row r="64" spans="1:8" x14ac:dyDescent="0.3">
      <c r="A64">
        <v>1022</v>
      </c>
      <c r="B64" s="171" t="str">
        <f>+_xlfn.IFNA(IF(Facturas!Q24="Cuenta 34: Activo intangible",VLOOKUP(Tabla4[[#This Row],[Llave ]],Facturas!A:V,2,FALSE),"No tiene código"),"")</f>
        <v/>
      </c>
      <c r="C64">
        <f>_xlfn.IFNA(IF(Facturas!Q24="Cuenta 34: Activo intangible",+VLOOKUP(Tabla4[[#This Row],[Llave ]],Facturas!A:D,3,FALSE),"Gasto"),"")</f>
        <v>2022</v>
      </c>
      <c r="E64" s="119">
        <f>IF(Facturas!Q24="Cuenta 34: Activo intangible",+VLOOKUP(Tabla4[[#This Row],[Llave ]],Facturas!A:P,16,FALSE),0)</f>
        <v>640</v>
      </c>
      <c r="F64" s="173">
        <f>IF(Facturas!Q24="Cuenta 34: Activo intangible",VLOOKUP(Tabla4[[#This Row],[Llave ]],Facturas!A:X,8,FALSE),"")</f>
        <v>0</v>
      </c>
      <c r="G64" s="119">
        <f>IF(Facturas!Q24="Cuenta 34: Activo intangible",IF(OR(Facturas!T24="Cancelado",Facturas!T24="Pendiente"),+VLOOKUP(Tabla4[[#This Row],[Llave ]],Facturas!A:T,16),0),0)</f>
        <v>640</v>
      </c>
      <c r="H64" s="172">
        <f>IF(Facturas!Q24="Cuenta 34: Activo intangible",VLOOKUP(Tabla4[[#This Row],[Llave ]],Facturas!A:X,23,FALSE),"")</f>
        <v>44927</v>
      </c>
    </row>
    <row r="65" spans="1:8" x14ac:dyDescent="0.3">
      <c r="A65">
        <v>1023</v>
      </c>
      <c r="B65" s="171" t="str">
        <f>+_xlfn.IFNA(IF(Facturas!Q25="Cuenta 34: Activo intangible",VLOOKUP(Tabla4[[#This Row],[Llave ]],Facturas!A:V,2,FALSE),"No tiene código"),"")</f>
        <v/>
      </c>
      <c r="C65">
        <f>_xlfn.IFNA(IF(Facturas!Q25="Cuenta 34: Activo intangible",+VLOOKUP(Tabla4[[#This Row],[Llave ]],Facturas!A:D,3,FALSE),"Gasto"),"")</f>
        <v>2022</v>
      </c>
      <c r="E65" s="119">
        <f>IF(Facturas!Q25="Cuenta 34: Activo intangible",+VLOOKUP(Tabla4[[#This Row],[Llave ]],Facturas!A:P,16,FALSE),0)</f>
        <v>1920</v>
      </c>
      <c r="F65" s="173">
        <f>IF(Facturas!Q25="Cuenta 34: Activo intangible",VLOOKUP(Tabla4[[#This Row],[Llave ]],Facturas!A:X,8,FALSE),"")</f>
        <v>0</v>
      </c>
      <c r="G65" s="119">
        <f>IF(Facturas!Q25="Cuenta 34: Activo intangible",IF(OR(Facturas!T25="Cancelado",Facturas!T25="Pendiente"),+VLOOKUP(Tabla4[[#This Row],[Llave ]],Facturas!A:T,16),0),0)</f>
        <v>1920</v>
      </c>
      <c r="H65" s="172">
        <f>IF(Facturas!Q25="Cuenta 34: Activo intangible",VLOOKUP(Tabla4[[#This Row],[Llave ]],Facturas!A:X,23,FALSE),"")</f>
        <v>44927</v>
      </c>
    </row>
    <row r="66" spans="1:8" x14ac:dyDescent="0.3">
      <c r="A66">
        <v>1024</v>
      </c>
      <c r="B66" s="171" t="str">
        <f>+_xlfn.IFNA(IF(Facturas!Q26="Cuenta 34: Activo intangible",VLOOKUP(Tabla4[[#This Row],[Llave ]],Facturas!A:V,2,FALSE),"No tiene código"),"")</f>
        <v/>
      </c>
      <c r="C66">
        <f>_xlfn.IFNA(IF(Facturas!Q26="Cuenta 34: Activo intangible",+VLOOKUP(Tabla4[[#This Row],[Llave ]],Facturas!A:D,3,FALSE),"Gasto"),"")</f>
        <v>2022</v>
      </c>
      <c r="E66" s="119">
        <f>IF(Facturas!Q26="Cuenta 34: Activo intangible",+VLOOKUP(Tabla4[[#This Row],[Llave ]],Facturas!A:P,16,FALSE),0)</f>
        <v>2560</v>
      </c>
      <c r="F66" s="173">
        <f>IF(Facturas!Q26="Cuenta 34: Activo intangible",VLOOKUP(Tabla4[[#This Row],[Llave ]],Facturas!A:X,8,FALSE),"")</f>
        <v>0</v>
      </c>
      <c r="G66" s="119">
        <f>IF(Facturas!Q26="Cuenta 34: Activo intangible",IF(OR(Facturas!T26="Cancelado",Facturas!T26="Pendiente"),+VLOOKUP(Tabla4[[#This Row],[Llave ]],Facturas!A:T,16),0),0)</f>
        <v>2560</v>
      </c>
      <c r="H66" s="172">
        <f>IF(Facturas!Q26="Cuenta 34: Activo intangible",VLOOKUP(Tabla4[[#This Row],[Llave ]],Facturas!A:X,23,FALSE),"")</f>
        <v>44927</v>
      </c>
    </row>
    <row r="67" spans="1:8" x14ac:dyDescent="0.3">
      <c r="A67">
        <v>1025</v>
      </c>
      <c r="B67" s="171" t="str">
        <f>+_xlfn.IFNA(IF(Facturas!Q27="Cuenta 34: Activo intangible",VLOOKUP(Tabla4[[#This Row],[Llave ]],Facturas!A:V,2,FALSE),"No tiene código"),"")</f>
        <v/>
      </c>
      <c r="C67">
        <f>_xlfn.IFNA(IF(Facturas!Q27="Cuenta 34: Activo intangible",+VLOOKUP(Tabla4[[#This Row],[Llave ]],Facturas!A:D,3,FALSE),"Gasto"),"")</f>
        <v>2022</v>
      </c>
      <c r="E67" s="119">
        <f>IF(Facturas!Q27="Cuenta 34: Activo intangible",+VLOOKUP(Tabla4[[#This Row],[Llave ]],Facturas!A:P,16,FALSE),0)</f>
        <v>2560</v>
      </c>
      <c r="F67" s="173">
        <f>IF(Facturas!Q27="Cuenta 34: Activo intangible",VLOOKUP(Tabla4[[#This Row],[Llave ]],Facturas!A:X,8,FALSE),"")</f>
        <v>0</v>
      </c>
      <c r="G67" s="119">
        <f>IF(Facturas!Q27="Cuenta 34: Activo intangible",IF(OR(Facturas!T27="Cancelado",Facturas!T27="Pendiente"),+VLOOKUP(Tabla4[[#This Row],[Llave ]],Facturas!A:T,16),0),0)</f>
        <v>2560</v>
      </c>
      <c r="H67" s="172">
        <f>IF(Facturas!Q27="Cuenta 34: Activo intangible",VLOOKUP(Tabla4[[#This Row],[Llave ]],Facturas!A:X,23,FALSE),"")</f>
        <v>44927</v>
      </c>
    </row>
    <row r="68" spans="1:8" x14ac:dyDescent="0.3">
      <c r="A68">
        <v>1026</v>
      </c>
      <c r="B68" s="171" t="str">
        <f>+_xlfn.IFNA(IF(Facturas!Q28="Cuenta 34: Activo intangible",VLOOKUP(Tabla4[[#This Row],[Llave ]],Facturas!A:V,2,FALSE),"No tiene código"),"")</f>
        <v>P202320</v>
      </c>
      <c r="C68">
        <f>_xlfn.IFNA(IF(Facturas!Q28="Cuenta 34: Activo intangible",+VLOOKUP(Tabla4[[#This Row],[Llave ]],Facturas!A:D,3,FALSE),"Gasto"),"")</f>
        <v>2023</v>
      </c>
      <c r="E68" s="119">
        <f>IF(Facturas!Q28="Cuenta 34: Activo intangible",+VLOOKUP(Tabla4[[#This Row],[Llave ]],Facturas!A:P,16,FALSE),0)</f>
        <v>1780</v>
      </c>
      <c r="F68" s="173">
        <f>IF(Facturas!Q28="Cuenta 34: Activo intangible",VLOOKUP(Tabla4[[#This Row],[Llave ]],Facturas!A:X,8,FALSE),"")</f>
        <v>44927</v>
      </c>
      <c r="G68" s="119">
        <f>IF(Facturas!Q28="Cuenta 34: Activo intangible",IF(OR(Facturas!T28="Cancelado",Facturas!T28="Pendiente"),+VLOOKUP(Tabla4[[#This Row],[Llave ]],Facturas!A:T,16),0),0)</f>
        <v>1780</v>
      </c>
      <c r="H68" s="172">
        <f>IF(Facturas!Q28="Cuenta 34: Activo intangible",VLOOKUP(Tabla4[[#This Row],[Llave ]],Facturas!A:X,23,FALSE),"")</f>
        <v>44927</v>
      </c>
    </row>
    <row r="69" spans="1:8" x14ac:dyDescent="0.3">
      <c r="A69">
        <v>1027</v>
      </c>
      <c r="B69" s="171" t="str">
        <f>+_xlfn.IFNA(IF(Facturas!Q29="Cuenta 34: Activo intangible",VLOOKUP(Tabla4[[#This Row],[Llave ]],Facturas!A:V,2,FALSE),"No tiene código"),"")</f>
        <v/>
      </c>
      <c r="C69">
        <f>_xlfn.IFNA(IF(Facturas!Q29="Cuenta 34: Activo intangible",+VLOOKUP(Tabla4[[#This Row],[Llave ]],Facturas!A:D,3,FALSE),"Gasto"),"")</f>
        <v>2022</v>
      </c>
      <c r="E69" s="119">
        <f>IF(Facturas!Q29="Cuenta 34: Activo intangible",+VLOOKUP(Tabla4[[#This Row],[Llave ]],Facturas!A:P,16,FALSE),0)</f>
        <v>2496.67</v>
      </c>
      <c r="F69" s="173">
        <f>IF(Facturas!Q29="Cuenta 34: Activo intangible",VLOOKUP(Tabla4[[#This Row],[Llave ]],Facturas!A:X,8,FALSE),"")</f>
        <v>0</v>
      </c>
      <c r="G69" s="119">
        <f>IF(Facturas!Q29="Cuenta 34: Activo intangible",IF(OR(Facturas!T29="Cancelado",Facturas!T29="Pendiente"),+VLOOKUP(Tabla4[[#This Row],[Llave ]],Facturas!A:T,16),0),0)</f>
        <v>2496.67</v>
      </c>
      <c r="H69" s="172">
        <f>IF(Facturas!Q29="Cuenta 34: Activo intangible",VLOOKUP(Tabla4[[#This Row],[Llave ]],Facturas!A:X,23,FALSE),"")</f>
        <v>44958</v>
      </c>
    </row>
    <row r="70" spans="1:8" x14ac:dyDescent="0.3">
      <c r="A70">
        <v>1028</v>
      </c>
      <c r="B70" s="171" t="str">
        <f>+_xlfn.IFNA(IF(Facturas!Q30="Cuenta 34: Activo intangible",VLOOKUP(Tabla4[[#This Row],[Llave ]],Facturas!A:V,2,FALSE),"No tiene código"),"")</f>
        <v>No tiene código</v>
      </c>
      <c r="C70" t="str">
        <f>_xlfn.IFNA(IF(Facturas!Q30="Cuenta 34: Activo intangible",+VLOOKUP(Tabla4[[#This Row],[Llave ]],Facturas!A:D,3,FALSE),"Gasto"),"")</f>
        <v>Gasto</v>
      </c>
      <c r="E70" s="119">
        <f>IF(Facturas!Q30="Cuenta 34: Activo intangible",+VLOOKUP(Tabla4[[#This Row],[Llave ]],Facturas!A:P,16,FALSE),0)</f>
        <v>0</v>
      </c>
      <c r="F70" s="173" t="str">
        <f>IF(Facturas!Q30="Cuenta 34: Activo intangible",VLOOKUP(Tabla4[[#This Row],[Llave ]],Facturas!A:X,8,FALSE),"")</f>
        <v/>
      </c>
      <c r="G70" s="119">
        <f>IF(Facturas!Q30="Cuenta 34: Activo intangible",IF(OR(Facturas!T30="Cancelado",Facturas!T30="Pendiente"),+VLOOKUP(Tabla4[[#This Row],[Llave ]],Facturas!A:T,16),0),0)</f>
        <v>0</v>
      </c>
      <c r="H70" s="172" t="str">
        <f>IF(Facturas!Q30="Cuenta 34: Activo intangible",VLOOKUP(Tabla4[[#This Row],[Llave ]],Facturas!A:X,23,FALSE),"")</f>
        <v/>
      </c>
    </row>
    <row r="71" spans="1:8" x14ac:dyDescent="0.3">
      <c r="A71">
        <v>1029</v>
      </c>
      <c r="B71" s="171" t="str">
        <f>+_xlfn.IFNA(IF(Facturas!Q31="Cuenta 34: Activo intangible",VLOOKUP(Tabla4[[#This Row],[Llave ]],Facturas!A:V,2,FALSE),"No tiene código"),"")</f>
        <v/>
      </c>
      <c r="C71">
        <f>_xlfn.IFNA(IF(Facturas!Q31="Cuenta 34: Activo intangible",+VLOOKUP(Tabla4[[#This Row],[Llave ]],Facturas!A:D,3,FALSE),"Gasto"),"")</f>
        <v>2022</v>
      </c>
      <c r="E71" s="119">
        <f>IF(Facturas!Q31="Cuenta 34: Activo intangible",+VLOOKUP(Tabla4[[#This Row],[Llave ]],Facturas!A:P,16,FALSE),0)</f>
        <v>2333.33</v>
      </c>
      <c r="F71" s="173">
        <f>IF(Facturas!Q31="Cuenta 34: Activo intangible",VLOOKUP(Tabla4[[#This Row],[Llave ]],Facturas!A:X,8,FALSE),"")</f>
        <v>0</v>
      </c>
      <c r="G71" s="119">
        <f>IF(Facturas!Q31="Cuenta 34: Activo intangible",IF(OR(Facturas!T31="Cancelado",Facturas!T31="Pendiente"),+VLOOKUP(Tabla4[[#This Row],[Llave ]],Facturas!A:T,16),0),0)</f>
        <v>2333.33</v>
      </c>
      <c r="H71" s="172">
        <f>IF(Facturas!Q31="Cuenta 34: Activo intangible",VLOOKUP(Tabla4[[#This Row],[Llave ]],Facturas!A:X,23,FALSE),"")</f>
        <v>44958</v>
      </c>
    </row>
    <row r="72" spans="1:8" x14ac:dyDescent="0.3">
      <c r="A72">
        <v>1030</v>
      </c>
      <c r="B72" s="171" t="str">
        <f>+_xlfn.IFNA(IF(Facturas!Q32="Cuenta 34: Activo intangible",VLOOKUP(Tabla4[[#This Row],[Llave ]],Facturas!A:V,2,FALSE),"No tiene código"),"")</f>
        <v/>
      </c>
      <c r="C72">
        <f>_xlfn.IFNA(IF(Facturas!Q32="Cuenta 34: Activo intangible",+VLOOKUP(Tabla4[[#This Row],[Llave ]],Facturas!A:D,3,FALSE),"Gasto"),"")</f>
        <v>2022</v>
      </c>
      <c r="E72" s="119">
        <f>IF(Facturas!Q32="Cuenta 34: Activo intangible",+VLOOKUP(Tabla4[[#This Row],[Llave ]],Facturas!A:P,16,FALSE),0)</f>
        <v>3990</v>
      </c>
      <c r="F72" s="173">
        <f>IF(Facturas!Q32="Cuenta 34: Activo intangible",VLOOKUP(Tabla4[[#This Row],[Llave ]],Facturas!A:X,8,FALSE),"")</f>
        <v>0</v>
      </c>
      <c r="G72" s="119">
        <f>IF(Facturas!Q32="Cuenta 34: Activo intangible",IF(OR(Facturas!T32="Cancelado",Facturas!T32="Pendiente"),+VLOOKUP(Tabla4[[#This Row],[Llave ]],Facturas!A:T,16),0),0)</f>
        <v>3990</v>
      </c>
      <c r="H72" s="172">
        <f>IF(Facturas!Q32="Cuenta 34: Activo intangible",VLOOKUP(Tabla4[[#This Row],[Llave ]],Facturas!A:X,23,FALSE),"")</f>
        <v>44958</v>
      </c>
    </row>
    <row r="73" spans="1:8" x14ac:dyDescent="0.3">
      <c r="A73">
        <v>1031</v>
      </c>
      <c r="B73" s="171" t="str">
        <f>+_xlfn.IFNA(IF(Facturas!Q33="Cuenta 34: Activo intangible",VLOOKUP(Tabla4[[#This Row],[Llave ]],Facturas!A:V,2,FALSE),"No tiene código"),"")</f>
        <v>P202311</v>
      </c>
      <c r="C73">
        <f>_xlfn.IFNA(IF(Facturas!Q33="Cuenta 34: Activo intangible",+VLOOKUP(Tabla4[[#This Row],[Llave ]],Facturas!A:D,3,FALSE),"Gasto"),"")</f>
        <v>2023</v>
      </c>
      <c r="E73" s="119">
        <f>IF(Facturas!Q33="Cuenta 34: Activo intangible",+VLOOKUP(Tabla4[[#This Row],[Llave ]],Facturas!A:P,16,FALSE),0)</f>
        <v>1200</v>
      </c>
      <c r="F73" s="173">
        <f>IF(Facturas!Q33="Cuenta 34: Activo intangible",VLOOKUP(Tabla4[[#This Row],[Llave ]],Facturas!A:X,8,FALSE),"")</f>
        <v>44958</v>
      </c>
      <c r="G73" s="119">
        <f>IF(Facturas!Q33="Cuenta 34: Activo intangible",IF(OR(Facturas!T33="Cancelado",Facturas!T33="Pendiente"),+VLOOKUP(Tabla4[[#This Row],[Llave ]],Facturas!A:T,16),0),0)</f>
        <v>1200</v>
      </c>
      <c r="H73" s="172">
        <f>IF(Facturas!Q33="Cuenta 34: Activo intangible",VLOOKUP(Tabla4[[#This Row],[Llave ]],Facturas!A:X,23,FALSE),"")</f>
        <v>44958</v>
      </c>
    </row>
    <row r="74" spans="1:8" x14ac:dyDescent="0.3">
      <c r="A74">
        <v>1032</v>
      </c>
      <c r="B74" s="171" t="str">
        <f>+_xlfn.IFNA(IF(Facturas!Q34="Cuenta 34: Activo intangible",VLOOKUP(Tabla4[[#This Row],[Llave ]],Facturas!A:V,2,FALSE),"No tiene código"),"")</f>
        <v>No tiene código</v>
      </c>
      <c r="C74" t="str">
        <f>_xlfn.IFNA(IF(Facturas!Q34="Cuenta 34: Activo intangible",+VLOOKUP(Tabla4[[#This Row],[Llave ]],Facturas!A:D,3,FALSE),"Gasto"),"")</f>
        <v>Gasto</v>
      </c>
      <c r="E74" s="119">
        <f>IF(Facturas!Q34="Cuenta 34: Activo intangible",+VLOOKUP(Tabla4[[#This Row],[Llave ]],Facturas!A:P,16,FALSE),0)</f>
        <v>0</v>
      </c>
      <c r="F74" s="173" t="str">
        <f>IF(Facturas!Q34="Cuenta 34: Activo intangible",VLOOKUP(Tabla4[[#This Row],[Llave ]],Facturas!A:X,8,FALSE),"")</f>
        <v/>
      </c>
      <c r="G74" s="119">
        <f>IF(Facturas!Q34="Cuenta 34: Activo intangible",IF(OR(Facturas!T34="Cancelado",Facturas!T34="Pendiente"),+VLOOKUP(Tabla4[[#This Row],[Llave ]],Facturas!A:T,16),0),0)</f>
        <v>0</v>
      </c>
      <c r="H74" s="172" t="str">
        <f>IF(Facturas!Q34="Cuenta 34: Activo intangible",VLOOKUP(Tabla4[[#This Row],[Llave ]],Facturas!A:X,23,FALSE),"")</f>
        <v/>
      </c>
    </row>
    <row r="75" spans="1:8" x14ac:dyDescent="0.3">
      <c r="A75">
        <v>1033</v>
      </c>
      <c r="B75" s="171" t="str">
        <f>+_xlfn.IFNA(IF(Facturas!Q35="Cuenta 34: Activo intangible",VLOOKUP(Tabla4[[#This Row],[Llave ]],Facturas!A:V,2,FALSE),"No tiene código"),"")</f>
        <v>No tiene código</v>
      </c>
      <c r="C75" t="str">
        <f>_xlfn.IFNA(IF(Facturas!Q35="Cuenta 34: Activo intangible",+VLOOKUP(Tabla4[[#This Row],[Llave ]],Facturas!A:D,3,FALSE),"Gasto"),"")</f>
        <v>Gasto</v>
      </c>
      <c r="E75" s="119">
        <f>IF(Facturas!Q35="Cuenta 34: Activo intangible",+VLOOKUP(Tabla4[[#This Row],[Llave ]],Facturas!A:P,16,FALSE),0)</f>
        <v>0</v>
      </c>
      <c r="F75" s="173" t="str">
        <f>IF(Facturas!Q35="Cuenta 34: Activo intangible",VLOOKUP(Tabla4[[#This Row],[Llave ]],Facturas!A:X,8,FALSE),"")</f>
        <v/>
      </c>
      <c r="G75" s="119">
        <f>IF(Facturas!Q35="Cuenta 34: Activo intangible",IF(OR(Facturas!T35="Cancelado",Facturas!T35="Pendiente"),+VLOOKUP(Tabla4[[#This Row],[Llave ]],Facturas!A:T,16),0),0)</f>
        <v>0</v>
      </c>
      <c r="H75" s="172" t="str">
        <f>IF(Facturas!Q35="Cuenta 34: Activo intangible",VLOOKUP(Tabla4[[#This Row],[Llave ]],Facturas!A:X,23,FALSE),"")</f>
        <v/>
      </c>
    </row>
    <row r="76" spans="1:8" x14ac:dyDescent="0.3">
      <c r="A76">
        <v>1034</v>
      </c>
      <c r="B76" s="171" t="str">
        <f>+_xlfn.IFNA(IF(Facturas!Q36="Cuenta 34: Activo intangible",VLOOKUP(Tabla4[[#This Row],[Llave ]],Facturas!A:V,2,FALSE),"No tiene código"),"")</f>
        <v/>
      </c>
      <c r="C76">
        <f>_xlfn.IFNA(IF(Facturas!Q36="Cuenta 34: Activo intangible",+VLOOKUP(Tabla4[[#This Row],[Llave ]],Facturas!A:D,3,FALSE),"Gasto"),"")</f>
        <v>2022</v>
      </c>
      <c r="E76" s="119">
        <f>IF(Facturas!Q36="Cuenta 34: Activo intangible",+VLOOKUP(Tabla4[[#This Row],[Llave ]],Facturas!A:P,16,FALSE),0)</f>
        <v>240</v>
      </c>
      <c r="F76" s="173">
        <f>IF(Facturas!Q36="Cuenta 34: Activo intangible",VLOOKUP(Tabla4[[#This Row],[Llave ]],Facturas!A:X,8,FALSE),"")</f>
        <v>0</v>
      </c>
      <c r="G76" s="119">
        <f>IF(Facturas!Q36="Cuenta 34: Activo intangible",IF(OR(Facturas!T36="Cancelado",Facturas!T36="Pendiente"),+VLOOKUP(Tabla4[[#This Row],[Llave ]],Facturas!A:T,16),0),0)</f>
        <v>240</v>
      </c>
      <c r="H76" s="172">
        <f>IF(Facturas!Q36="Cuenta 34: Activo intangible",VLOOKUP(Tabla4[[#This Row],[Llave ]],Facturas!A:X,23,FALSE),"")</f>
        <v>44986</v>
      </c>
    </row>
    <row r="77" spans="1:8" x14ac:dyDescent="0.3">
      <c r="A77">
        <v>1035</v>
      </c>
      <c r="B77" s="171" t="str">
        <f>+_xlfn.IFNA(IF(Facturas!Q37="Cuenta 34: Activo intangible",VLOOKUP(Tabla4[[#This Row],[Llave ]],Facturas!A:V,2,FALSE),"No tiene código"),"")</f>
        <v>No tiene código</v>
      </c>
      <c r="C77" t="str">
        <f>_xlfn.IFNA(IF(Facturas!Q37="Cuenta 34: Activo intangible",+VLOOKUP(Tabla4[[#This Row],[Llave ]],Facturas!A:D,3,FALSE),"Gasto"),"")</f>
        <v>Gasto</v>
      </c>
      <c r="E77" s="119">
        <f>IF(Facturas!Q37="Cuenta 34: Activo intangible",+VLOOKUP(Tabla4[[#This Row],[Llave ]],Facturas!A:P,16,FALSE),0)</f>
        <v>0</v>
      </c>
      <c r="F77" s="173" t="str">
        <f>IF(Facturas!Q37="Cuenta 34: Activo intangible",VLOOKUP(Tabla4[[#This Row],[Llave ]],Facturas!A:X,8,FALSE),"")</f>
        <v/>
      </c>
      <c r="G77" s="119">
        <f>IF(Facturas!Q37="Cuenta 34: Activo intangible",IF(OR(Facturas!T37="Cancelado",Facturas!T37="Pendiente"),+VLOOKUP(Tabla4[[#This Row],[Llave ]],Facturas!A:T,16),0),0)</f>
        <v>0</v>
      </c>
      <c r="H77" s="172" t="str">
        <f>IF(Facturas!Q37="Cuenta 34: Activo intangible",VLOOKUP(Tabla4[[#This Row],[Llave ]],Facturas!A:X,23,FALSE),"")</f>
        <v/>
      </c>
    </row>
    <row r="78" spans="1:8" x14ac:dyDescent="0.3">
      <c r="A78">
        <v>1036</v>
      </c>
      <c r="B78" s="171" t="str">
        <f>+_xlfn.IFNA(IF(Facturas!Q38="Cuenta 34: Activo intangible",VLOOKUP(Tabla4[[#This Row],[Llave ]],Facturas!A:V,2,FALSE),"No tiene código"),"")</f>
        <v>P202302</v>
      </c>
      <c r="C78">
        <f>_xlfn.IFNA(IF(Facturas!Q38="Cuenta 34: Activo intangible",+VLOOKUP(Tabla4[[#This Row],[Llave ]],Facturas!A:D,3,FALSE),"Gasto"),"")</f>
        <v>2023</v>
      </c>
      <c r="E78" s="119">
        <f>IF(Facturas!Q38="Cuenta 34: Activo intangible",+VLOOKUP(Tabla4[[#This Row],[Llave ]],Facturas!A:P,16,FALSE),0)</f>
        <v>11700</v>
      </c>
      <c r="F78" s="173">
        <f>IF(Facturas!Q38="Cuenta 34: Activo intangible",VLOOKUP(Tabla4[[#This Row],[Llave ]],Facturas!A:X,8,FALSE),"")</f>
        <v>44986</v>
      </c>
      <c r="G78" s="119">
        <f>IF(Facturas!Q38="Cuenta 34: Activo intangible",IF(OR(Facturas!T38="Cancelado",Facturas!T38="Pendiente"),+VLOOKUP(Tabla4[[#This Row],[Llave ]],Facturas!A:T,16),0),0)</f>
        <v>11700</v>
      </c>
      <c r="H78" s="172">
        <f>IF(Facturas!Q38="Cuenta 34: Activo intangible",VLOOKUP(Tabla4[[#This Row],[Llave ]],Facturas!A:X,23,FALSE),"")</f>
        <v>45017</v>
      </c>
    </row>
    <row r="79" spans="1:8" x14ac:dyDescent="0.3">
      <c r="A79">
        <v>1037</v>
      </c>
      <c r="B79" s="171" t="str">
        <f>+_xlfn.IFNA(IF(Facturas!Q39="Cuenta 34: Activo intangible",VLOOKUP(Tabla4[[#This Row],[Llave ]],Facturas!A:V,2,FALSE),"No tiene código"),"")</f>
        <v>P202318</v>
      </c>
      <c r="C79">
        <f>_xlfn.IFNA(IF(Facturas!Q39="Cuenta 34: Activo intangible",+VLOOKUP(Tabla4[[#This Row],[Llave ]],Facturas!A:D,3,FALSE),"Gasto"),"")</f>
        <v>2023</v>
      </c>
      <c r="E79" s="119">
        <f>IF(Facturas!Q39="Cuenta 34: Activo intangible",+VLOOKUP(Tabla4[[#This Row],[Llave ]],Facturas!A:P,16,FALSE),0)</f>
        <v>925</v>
      </c>
      <c r="F79" s="173">
        <f>IF(Facturas!Q39="Cuenta 34: Activo intangible",VLOOKUP(Tabla4[[#This Row],[Llave ]],Facturas!A:X,8,FALSE),"")</f>
        <v>45017</v>
      </c>
      <c r="G79" s="119">
        <f>IF(Facturas!Q39="Cuenta 34: Activo intangible",IF(OR(Facturas!T39="Cancelado",Facturas!T39="Pendiente"),+VLOOKUP(Tabla4[[#This Row],[Llave ]],Facturas!A:T,16),0),0)</f>
        <v>925</v>
      </c>
      <c r="H79" s="172">
        <f>IF(Facturas!Q39="Cuenta 34: Activo intangible",VLOOKUP(Tabla4[[#This Row],[Llave ]],Facturas!A:X,23,FALSE),"")</f>
        <v>45047</v>
      </c>
    </row>
    <row r="80" spans="1:8" x14ac:dyDescent="0.3">
      <c r="A80">
        <v>1038</v>
      </c>
      <c r="B80" s="171" t="str">
        <f>+_xlfn.IFNA(IF(Facturas!Q40="Cuenta 34: Activo intangible",VLOOKUP(Tabla4[[#This Row],[Llave ]],Facturas!A:V,2,FALSE),"No tiene código"),"")</f>
        <v/>
      </c>
      <c r="C80">
        <f>_xlfn.IFNA(IF(Facturas!Q40="Cuenta 34: Activo intangible",+VLOOKUP(Tabla4[[#This Row],[Llave ]],Facturas!A:D,3,FALSE),"Gasto"),"")</f>
        <v>2022</v>
      </c>
      <c r="E80" s="119">
        <f>IF(Facturas!Q40="Cuenta 34: Activo intangible",+VLOOKUP(Tabla4[[#This Row],[Llave ]],Facturas!A:P,16,FALSE),0)</f>
        <v>3103.3333333333335</v>
      </c>
      <c r="F80" s="173">
        <f>IF(Facturas!Q40="Cuenta 34: Activo intangible",VLOOKUP(Tabla4[[#This Row],[Llave ]],Facturas!A:X,8,FALSE),"")</f>
        <v>0</v>
      </c>
      <c r="G80" s="119">
        <f>IF(Facturas!Q40="Cuenta 34: Activo intangible",IF(OR(Facturas!T40="Cancelado",Facturas!T40="Pendiente"),+VLOOKUP(Tabla4[[#This Row],[Llave ]],Facturas!A:T,16),0),0)</f>
        <v>3103.3333333333335</v>
      </c>
      <c r="H80" s="172">
        <f>IF(Facturas!Q40="Cuenta 34: Activo intangible",VLOOKUP(Tabla4[[#This Row],[Llave ]],Facturas!A:X,23,FALSE),"")</f>
        <v>45047</v>
      </c>
    </row>
    <row r="81" spans="1:8" x14ac:dyDescent="0.3">
      <c r="A81">
        <v>1039</v>
      </c>
      <c r="B81" s="171" t="str">
        <f>+_xlfn.IFNA(IF(Facturas!Q41="Cuenta 34: Activo intangible",VLOOKUP(Tabla4[[#This Row],[Llave ]],Facturas!A:V,2,FALSE),"No tiene código"),"")</f>
        <v>No tiene código</v>
      </c>
      <c r="C81" t="str">
        <f>_xlfn.IFNA(IF(Facturas!Q41="Cuenta 34: Activo intangible",+VLOOKUP(Tabla4[[#This Row],[Llave ]],Facturas!A:D,3,FALSE),"Gasto"),"")</f>
        <v>Gasto</v>
      </c>
      <c r="E81" s="119">
        <f>IF(Facturas!Q41="Cuenta 34: Activo intangible",+VLOOKUP(Tabla4[[#This Row],[Llave ]],Facturas!A:P,16,FALSE),0)</f>
        <v>0</v>
      </c>
      <c r="F81" s="173" t="str">
        <f>IF(Facturas!Q41="Cuenta 34: Activo intangible",VLOOKUP(Tabla4[[#This Row],[Llave ]],Facturas!A:X,8,FALSE),"")</f>
        <v/>
      </c>
      <c r="G81" s="119">
        <f>IF(Facturas!Q41="Cuenta 34: Activo intangible",IF(OR(Facturas!T41="Cancelado",Facturas!T41="Pendiente"),+VLOOKUP(Tabla4[[#This Row],[Llave ]],Facturas!A:T,16),0),0)</f>
        <v>0</v>
      </c>
      <c r="H81" s="172" t="str">
        <f>IF(Facturas!Q41="Cuenta 34: Activo intangible",VLOOKUP(Tabla4[[#This Row],[Llave ]],Facturas!A:X,23,FALSE),"")</f>
        <v/>
      </c>
    </row>
    <row r="82" spans="1:8" x14ac:dyDescent="0.3">
      <c r="A82">
        <v>1040</v>
      </c>
      <c r="B82" s="171" t="str">
        <f>+_xlfn.IFNA(IF(Facturas!Q42="Cuenta 34: Activo intangible",VLOOKUP(Tabla4[[#This Row],[Llave ]],Facturas!A:V,2,FALSE),"No tiene código"),"")</f>
        <v>P202319</v>
      </c>
      <c r="C82">
        <f>_xlfn.IFNA(IF(Facturas!Q42="Cuenta 34: Activo intangible",+VLOOKUP(Tabla4[[#This Row],[Llave ]],Facturas!A:D,3,FALSE),"Gasto"),"")</f>
        <v>2023</v>
      </c>
      <c r="E82" s="119">
        <f>IF(Facturas!Q42="Cuenta 34: Activo intangible",+VLOOKUP(Tabla4[[#This Row],[Llave ]],Facturas!A:P,16,FALSE),0)</f>
        <v>2420</v>
      </c>
      <c r="F82" s="173">
        <f>IF(Facturas!Q42="Cuenta 34: Activo intangible",VLOOKUP(Tabla4[[#This Row],[Llave ]],Facturas!A:X,8,FALSE),"")</f>
        <v>44986</v>
      </c>
      <c r="G82" s="119">
        <f>IF(Facturas!Q42="Cuenta 34: Activo intangible",IF(OR(Facturas!T42="Cancelado",Facturas!T42="Pendiente"),+VLOOKUP(Tabla4[[#This Row],[Llave ]],Facturas!A:T,16),0),0)</f>
        <v>2420</v>
      </c>
      <c r="H82" s="172">
        <f>IF(Facturas!Q42="Cuenta 34: Activo intangible",VLOOKUP(Tabla4[[#This Row],[Llave ]],Facturas!A:X,23,FALSE),"")</f>
        <v>45047</v>
      </c>
    </row>
    <row r="83" spans="1:8" x14ac:dyDescent="0.3">
      <c r="A83">
        <v>1041</v>
      </c>
      <c r="B83" s="171" t="str">
        <f>+_xlfn.IFNA(IF(Facturas!Q43="Cuenta 34: Activo intangible",VLOOKUP(Tabla4[[#This Row],[Llave ]],Facturas!A:V,2,FALSE),"No tiene código"),"")</f>
        <v>P202314</v>
      </c>
      <c r="C83">
        <f>_xlfn.IFNA(IF(Facturas!Q43="Cuenta 34: Activo intangible",+VLOOKUP(Tabla4[[#This Row],[Llave ]],Facturas!A:D,3,FALSE),"Gasto"),"")</f>
        <v>2023</v>
      </c>
      <c r="E83" s="119">
        <f>IF(Facturas!Q43="Cuenta 34: Activo intangible",+VLOOKUP(Tabla4[[#This Row],[Llave ]],Facturas!A:P,16,FALSE),0)</f>
        <v>3060</v>
      </c>
      <c r="F83" s="173">
        <f>IF(Facturas!Q43="Cuenta 34: Activo intangible",VLOOKUP(Tabla4[[#This Row],[Llave ]],Facturas!A:X,8,FALSE),"")</f>
        <v>44986</v>
      </c>
      <c r="G83" s="119">
        <f>IF(Facturas!Q43="Cuenta 34: Activo intangible",IF(OR(Facturas!T43="Cancelado",Facturas!T43="Pendiente"),+VLOOKUP(Tabla4[[#This Row],[Llave ]],Facturas!A:T,16),0),0)</f>
        <v>3060</v>
      </c>
      <c r="H83" s="172">
        <f>IF(Facturas!Q43="Cuenta 34: Activo intangible",VLOOKUP(Tabla4[[#This Row],[Llave ]],Facturas!A:X,23,FALSE),"")</f>
        <v>45047</v>
      </c>
    </row>
    <row r="84" spans="1:8" x14ac:dyDescent="0.3">
      <c r="A84">
        <v>1042</v>
      </c>
      <c r="B84" s="171" t="str">
        <f>+_xlfn.IFNA(IF(Facturas!Q44="Cuenta 34: Activo intangible",VLOOKUP(Tabla4[[#This Row],[Llave ]],Facturas!A:V,2,FALSE),"No tiene código"),"")</f>
        <v/>
      </c>
      <c r="C84">
        <f>_xlfn.IFNA(IF(Facturas!Q44="Cuenta 34: Activo intangible",+VLOOKUP(Tabla4[[#This Row],[Llave ]],Facturas!A:D,3,FALSE),"Gasto"),"")</f>
        <v>2022</v>
      </c>
      <c r="E84" s="119">
        <f>IF(Facturas!Q44="Cuenta 34: Activo intangible",+VLOOKUP(Tabla4[[#This Row],[Llave ]],Facturas!A:P,16,FALSE),0)</f>
        <v>3103.3333333333335</v>
      </c>
      <c r="F84" s="173">
        <f>IF(Facturas!Q44="Cuenta 34: Activo intangible",VLOOKUP(Tabla4[[#This Row],[Llave ]],Facturas!A:X,8,FALSE),"")</f>
        <v>0</v>
      </c>
      <c r="G84" s="119">
        <f>IF(Facturas!Q44="Cuenta 34: Activo intangible",IF(OR(Facturas!T44="Cancelado",Facturas!T44="Pendiente"),+VLOOKUP(Tabla4[[#This Row],[Llave ]],Facturas!A:T,16),0),0)</f>
        <v>3103.3333333333335</v>
      </c>
      <c r="H84" s="172">
        <f>IF(Facturas!Q44="Cuenta 34: Activo intangible",VLOOKUP(Tabla4[[#This Row],[Llave ]],Facturas!A:X,23,FALSE),"")</f>
        <v>45078</v>
      </c>
    </row>
    <row r="85" spans="1:8" x14ac:dyDescent="0.3">
      <c r="A85">
        <v>1043</v>
      </c>
      <c r="B85" s="171" t="str">
        <f>+_xlfn.IFNA(IF(Facturas!Q45="Cuenta 34: Activo intangible",VLOOKUP(Tabla4[[#This Row],[Llave ]],Facturas!A:V,2,FALSE),"No tiene código"),"")</f>
        <v/>
      </c>
      <c r="C85">
        <f>_xlfn.IFNA(IF(Facturas!Q45="Cuenta 34: Activo intangible",+VLOOKUP(Tabla4[[#This Row],[Llave ]],Facturas!A:D,3,FALSE),"Gasto"),"")</f>
        <v>2022</v>
      </c>
      <c r="E85" s="119">
        <f>IF(Facturas!Q45="Cuenta 34: Activo intangible",+VLOOKUP(Tabla4[[#This Row],[Llave ]],Facturas!A:P,16,FALSE),0)</f>
        <v>3103.3333333333335</v>
      </c>
      <c r="F85" s="173">
        <f>IF(Facturas!Q45="Cuenta 34: Activo intangible",VLOOKUP(Tabla4[[#This Row],[Llave ]],Facturas!A:X,8,FALSE),"")</f>
        <v>0</v>
      </c>
      <c r="G85" s="119">
        <f>IF(Facturas!Q45="Cuenta 34: Activo intangible",IF(OR(Facturas!T45="Cancelado",Facturas!T45="Pendiente"),+VLOOKUP(Tabla4[[#This Row],[Llave ]],Facturas!A:T,16),0),0)</f>
        <v>3103.3333333333335</v>
      </c>
      <c r="H85" s="172">
        <f>IF(Facturas!Q45="Cuenta 34: Activo intangible",VLOOKUP(Tabla4[[#This Row],[Llave ]],Facturas!A:X,23,FALSE),"")</f>
        <v>45078</v>
      </c>
    </row>
    <row r="86" spans="1:8" x14ac:dyDescent="0.3">
      <c r="A86">
        <v>1044</v>
      </c>
      <c r="B86" s="171" t="str">
        <f>+_xlfn.IFNA(IF(Facturas!Q46="Cuenta 34: Activo intangible",VLOOKUP(Tabla4[[#This Row],[Llave ]],Facturas!A:V,2,FALSE),"No tiene código"),"")</f>
        <v>No tiene código</v>
      </c>
      <c r="C86" t="str">
        <f>_xlfn.IFNA(IF(Facturas!Q46="Cuenta 34: Activo intangible",+VLOOKUP(Tabla4[[#This Row],[Llave ]],Facturas!A:D,3,FALSE),"Gasto"),"")</f>
        <v>Gasto</v>
      </c>
      <c r="E86" s="119">
        <f>IF(Facturas!Q46="Cuenta 34: Activo intangible",+VLOOKUP(Tabla4[[#This Row],[Llave ]],Facturas!A:P,16,FALSE),0)</f>
        <v>0</v>
      </c>
      <c r="F86" s="173" t="str">
        <f>IF(Facturas!Q46="Cuenta 34: Activo intangible",VLOOKUP(Tabla4[[#This Row],[Llave ]],Facturas!A:X,8,FALSE),"")</f>
        <v/>
      </c>
      <c r="G86" s="119">
        <f>IF(Facturas!Q46="Cuenta 34: Activo intangible",IF(OR(Facturas!T46="Cancelado",Facturas!T46="Pendiente"),+VLOOKUP(Tabla4[[#This Row],[Llave ]],Facturas!A:T,16),0),0)</f>
        <v>0</v>
      </c>
      <c r="H86" s="172" t="str">
        <f>IF(Facturas!Q46="Cuenta 34: Activo intangible",VLOOKUP(Tabla4[[#This Row],[Llave ]],Facturas!A:X,23,FALSE),"")</f>
        <v/>
      </c>
    </row>
    <row r="87" spans="1:8" x14ac:dyDescent="0.3">
      <c r="A87">
        <v>1045</v>
      </c>
      <c r="B87" s="171" t="str">
        <f>+_xlfn.IFNA(IF(Facturas!Q47="Cuenta 34: Activo intangible",VLOOKUP(Tabla4[[#This Row],[Llave ]],Facturas!A:V,2,FALSE),"No tiene código"),"")</f>
        <v>P202303</v>
      </c>
      <c r="C87">
        <f>_xlfn.IFNA(IF(Facturas!Q47="Cuenta 34: Activo intangible",+VLOOKUP(Tabla4[[#This Row],[Llave ]],Facturas!A:D,3,FALSE),"Gasto"),"")</f>
        <v>2023</v>
      </c>
      <c r="E87" s="119">
        <f>IF(Facturas!Q47="Cuenta 34: Activo intangible",+VLOOKUP(Tabla4[[#This Row],[Llave ]],Facturas!A:P,16,FALSE),0)</f>
        <v>3400</v>
      </c>
      <c r="F87" s="173">
        <f>IF(Facturas!Q47="Cuenta 34: Activo intangible",VLOOKUP(Tabla4[[#This Row],[Llave ]],Facturas!A:X,8,FALSE),"")</f>
        <v>45047</v>
      </c>
      <c r="G87" s="119">
        <f>IF(Facturas!Q47="Cuenta 34: Activo intangible",IF(OR(Facturas!T47="Cancelado",Facturas!T47="Pendiente"),+VLOOKUP(Tabla4[[#This Row],[Llave ]],Facturas!A:T,16),0),0)</f>
        <v>3400</v>
      </c>
      <c r="H87" s="172">
        <f>IF(Facturas!Q47="Cuenta 34: Activo intangible",VLOOKUP(Tabla4[[#This Row],[Llave ]],Facturas!A:X,23,FALSE),"")</f>
        <v>45078</v>
      </c>
    </row>
    <row r="88" spans="1:8" x14ac:dyDescent="0.3">
      <c r="A88">
        <v>1046</v>
      </c>
      <c r="B88" s="171" t="str">
        <f>+_xlfn.IFNA(IF(Facturas!Q48="Cuenta 34: Activo intangible",VLOOKUP(Tabla4[[#This Row],[Llave ]],Facturas!A:V,2,FALSE),"No tiene código"),"")</f>
        <v>P202302</v>
      </c>
      <c r="C88">
        <f>_xlfn.IFNA(IF(Facturas!Q48="Cuenta 34: Activo intangible",+VLOOKUP(Tabla4[[#This Row],[Llave ]],Facturas!A:D,3,FALSE),"Gasto"),"")</f>
        <v>2023</v>
      </c>
      <c r="E88" s="119">
        <f>IF(Facturas!Q48="Cuenta 34: Activo intangible",+VLOOKUP(Tabla4[[#This Row],[Llave ]],Facturas!A:P,16,FALSE),0)</f>
        <v>5460</v>
      </c>
      <c r="F88" s="173">
        <f>IF(Facturas!Q48="Cuenta 34: Activo intangible",VLOOKUP(Tabla4[[#This Row],[Llave ]],Facturas!A:X,8,FALSE),"")</f>
        <v>44986</v>
      </c>
      <c r="G88" s="119">
        <f>IF(Facturas!Q48="Cuenta 34: Activo intangible",IF(OR(Facturas!T48="Cancelado",Facturas!T48="Pendiente"),+VLOOKUP(Tabla4[[#This Row],[Llave ]],Facturas!A:T,16),0),0)</f>
        <v>5460</v>
      </c>
      <c r="H88" s="172">
        <f>IF(Facturas!Q48="Cuenta 34: Activo intangible",VLOOKUP(Tabla4[[#This Row],[Llave ]],Facturas!A:X,23,FALSE),"")</f>
        <v>45078</v>
      </c>
    </row>
    <row r="89" spans="1:8" x14ac:dyDescent="0.3">
      <c r="A89">
        <v>1047</v>
      </c>
      <c r="B89" s="171" t="str">
        <f>+_xlfn.IFNA(IF(Facturas!Q49="Cuenta 34: Activo intangible",VLOOKUP(Tabla4[[#This Row],[Llave ]],Facturas!A:V,2,FALSE),"No tiene código"),"")</f>
        <v>P202302</v>
      </c>
      <c r="C89">
        <f>_xlfn.IFNA(IF(Facturas!Q49="Cuenta 34: Activo intangible",+VLOOKUP(Tabla4[[#This Row],[Llave ]],Facturas!A:D,3,FALSE),"Gasto"),"")</f>
        <v>2023</v>
      </c>
      <c r="E89" s="119">
        <f>IF(Facturas!Q49="Cuenta 34: Activo intangible",+VLOOKUP(Tabla4[[#This Row],[Llave ]],Facturas!A:P,16,FALSE),0)</f>
        <v>2130</v>
      </c>
      <c r="F89" s="173">
        <f>IF(Facturas!Q49="Cuenta 34: Activo intangible",VLOOKUP(Tabla4[[#This Row],[Llave ]],Facturas!A:X,8,FALSE),"")</f>
        <v>44986</v>
      </c>
      <c r="G89" s="119">
        <f>IF(Facturas!Q49="Cuenta 34: Activo intangible",IF(OR(Facturas!T49="Cancelado",Facturas!T49="Pendiente"),+VLOOKUP(Tabla4[[#This Row],[Llave ]],Facturas!A:T,16),0),0)</f>
        <v>2130</v>
      </c>
      <c r="H89" s="172">
        <f>IF(Facturas!Q49="Cuenta 34: Activo intangible",VLOOKUP(Tabla4[[#This Row],[Llave ]],Facturas!A:X,23,FALSE),"")</f>
        <v>45078</v>
      </c>
    </row>
    <row r="90" spans="1:8" x14ac:dyDescent="0.3">
      <c r="A90">
        <v>1048</v>
      </c>
      <c r="B90" s="171" t="str">
        <f>+_xlfn.IFNA(IF(Facturas!Q50="Cuenta 34: Activo intangible",VLOOKUP(Tabla4[[#This Row],[Llave ]],Facturas!A:V,2,FALSE),"No tiene código"),"")</f>
        <v>No tiene código</v>
      </c>
      <c r="C90" t="str">
        <f>_xlfn.IFNA(IF(Facturas!Q50="Cuenta 34: Activo intangible",+VLOOKUP(Tabla4[[#This Row],[Llave ]],Facturas!A:D,3,FALSE),"Gasto"),"")</f>
        <v>Gasto</v>
      </c>
      <c r="E90" s="119">
        <f>IF(Facturas!Q50="Cuenta 34: Activo intangible",+VLOOKUP(Tabla4[[#This Row],[Llave ]],Facturas!A:P,16,FALSE),0)</f>
        <v>0</v>
      </c>
      <c r="F90" s="173" t="str">
        <f>IF(Facturas!Q50="Cuenta 34: Activo intangible",VLOOKUP(Tabla4[[#This Row],[Llave ]],Facturas!A:X,8,FALSE),"")</f>
        <v/>
      </c>
      <c r="G90" s="119">
        <f>IF(Facturas!Q50="Cuenta 34: Activo intangible",IF(OR(Facturas!T50="Cancelado",Facturas!T50="Pendiente"),+VLOOKUP(Tabla4[[#This Row],[Llave ]],Facturas!A:T,16),0),0)</f>
        <v>0</v>
      </c>
      <c r="H90" s="172" t="str">
        <f>IF(Facturas!Q50="Cuenta 34: Activo intangible",VLOOKUP(Tabla4[[#This Row],[Llave ]],Facturas!A:X,23,FALSE),"")</f>
        <v/>
      </c>
    </row>
    <row r="91" spans="1:8" x14ac:dyDescent="0.3">
      <c r="A91">
        <v>1049</v>
      </c>
      <c r="B91" s="171" t="str">
        <f>+_xlfn.IFNA(IF(Facturas!Q51="Cuenta 34: Activo intangible",VLOOKUP(Tabla4[[#This Row],[Llave ]],Facturas!A:V,2,FALSE),"No tiene código"),"")</f>
        <v>P202302</v>
      </c>
      <c r="C91">
        <f>_xlfn.IFNA(IF(Facturas!Q51="Cuenta 34: Activo intangible",+VLOOKUP(Tabla4[[#This Row],[Llave ]],Facturas!A:D,3,FALSE),"Gasto"),"")</f>
        <v>2023</v>
      </c>
      <c r="E91" s="119">
        <f>IF(Facturas!Q51="Cuenta 34: Activo intangible",+VLOOKUP(Tabla4[[#This Row],[Llave ]],Facturas!A:P,16,FALSE),0)</f>
        <v>5460</v>
      </c>
      <c r="F91" s="173">
        <f>IF(Facturas!Q51="Cuenta 34: Activo intangible",VLOOKUP(Tabla4[[#This Row],[Llave ]],Facturas!A:X,8,FALSE),"")</f>
        <v>44986</v>
      </c>
      <c r="G91" s="119">
        <f>IF(Facturas!Q51="Cuenta 34: Activo intangible",IF(OR(Facturas!T51="Cancelado",Facturas!T51="Pendiente"),+VLOOKUP(Tabla4[[#This Row],[Llave ]],Facturas!A:T,16),0),0)</f>
        <v>5460</v>
      </c>
      <c r="H91" s="172">
        <f>IF(Facturas!Q51="Cuenta 34: Activo intangible",VLOOKUP(Tabla4[[#This Row],[Llave ]],Facturas!A:X,23,FALSE),"")</f>
        <v>45108</v>
      </c>
    </row>
    <row r="92" spans="1:8" x14ac:dyDescent="0.3">
      <c r="A92">
        <v>1050</v>
      </c>
      <c r="B92" s="171" t="str">
        <f>+_xlfn.IFNA(IF(Facturas!Q52="Cuenta 34: Activo intangible",VLOOKUP(Tabla4[[#This Row],[Llave ]],Facturas!A:V,2,FALSE),"No tiene código"),"")</f>
        <v>P202302</v>
      </c>
      <c r="C92">
        <f>_xlfn.IFNA(IF(Facturas!Q52="Cuenta 34: Activo intangible",+VLOOKUP(Tabla4[[#This Row],[Llave ]],Facturas!A:D,3,FALSE),"Gasto"),"")</f>
        <v>2023</v>
      </c>
      <c r="E92" s="119">
        <f>IF(Facturas!Q52="Cuenta 34: Activo intangible",+VLOOKUP(Tabla4[[#This Row],[Llave ]],Facturas!A:P,16,FALSE),0)</f>
        <v>2485</v>
      </c>
      <c r="F92" s="173">
        <f>IF(Facturas!Q52="Cuenta 34: Activo intangible",VLOOKUP(Tabla4[[#This Row],[Llave ]],Facturas!A:X,8,FALSE),"")</f>
        <v>44986</v>
      </c>
      <c r="G92" s="119">
        <f>IF(Facturas!Q52="Cuenta 34: Activo intangible",IF(OR(Facturas!T52="Cancelado",Facturas!T52="Pendiente"),+VLOOKUP(Tabla4[[#This Row],[Llave ]],Facturas!A:T,16),0),0)</f>
        <v>2485</v>
      </c>
      <c r="H92" s="172">
        <f>IF(Facturas!Q52="Cuenta 34: Activo intangible",VLOOKUP(Tabla4[[#This Row],[Llave ]],Facturas!A:X,23,FALSE),"")</f>
        <v>45108</v>
      </c>
    </row>
    <row r="93" spans="1:8" x14ac:dyDescent="0.3">
      <c r="A93">
        <v>1051</v>
      </c>
      <c r="B93" s="171" t="str">
        <f>+_xlfn.IFNA(IF(Facturas!Q53="Cuenta 34: Activo intangible",VLOOKUP(Tabla4[[#This Row],[Llave ]],Facturas!A:V,2,FALSE),"No tiene código"),"")</f>
        <v>P202304</v>
      </c>
      <c r="C93">
        <f>_xlfn.IFNA(IF(Facturas!Q53="Cuenta 34: Activo intangible",+VLOOKUP(Tabla4[[#This Row],[Llave ]],Facturas!A:D,3,FALSE),"Gasto"),"")</f>
        <v>2023</v>
      </c>
      <c r="E93" s="119">
        <f>IF(Facturas!Q53="Cuenta 34: Activo intangible",+VLOOKUP(Tabla4[[#This Row],[Llave ]],Facturas!A:P,16,FALSE),0)</f>
        <v>1800</v>
      </c>
      <c r="F93" s="173">
        <f>IF(Facturas!Q53="Cuenta 34: Activo intangible",VLOOKUP(Tabla4[[#This Row],[Llave ]],Facturas!A:X,8,FALSE),"")</f>
        <v>45047</v>
      </c>
      <c r="G93" s="119">
        <f>IF(Facturas!Q53="Cuenta 34: Activo intangible",IF(OR(Facturas!T53="Cancelado",Facturas!T53="Pendiente"),+VLOOKUP(Tabla4[[#This Row],[Llave ]],Facturas!A:T,16),0),0)</f>
        <v>1800</v>
      </c>
      <c r="H93" s="172">
        <f>IF(Facturas!Q53="Cuenta 34: Activo intangible",VLOOKUP(Tabla4[[#This Row],[Llave ]],Facturas!A:X,23,FALSE),"")</f>
        <v>45108</v>
      </c>
    </row>
    <row r="94" spans="1:8" x14ac:dyDescent="0.3">
      <c r="A94">
        <v>1052</v>
      </c>
      <c r="B94" s="171" t="str">
        <f>+_xlfn.IFNA(IF(Facturas!Q54="Cuenta 34: Activo intangible",VLOOKUP(Tabla4[[#This Row],[Llave ]],Facturas!A:V,2,FALSE),"No tiene código"),"")</f>
        <v>No tiene código</v>
      </c>
      <c r="C94" t="str">
        <f>_xlfn.IFNA(IF(Facturas!Q54="Cuenta 34: Activo intangible",+VLOOKUP(Tabla4[[#This Row],[Llave ]],Facturas!A:D,3,FALSE),"Gasto"),"")</f>
        <v>Gasto</v>
      </c>
      <c r="E94" s="119">
        <f>IF(Facturas!Q54="Cuenta 34: Activo intangible",+VLOOKUP(Tabla4[[#This Row],[Llave ]],Facturas!A:P,16,FALSE),0)</f>
        <v>0</v>
      </c>
      <c r="F94" s="173" t="str">
        <f>IF(Facturas!Q54="Cuenta 34: Activo intangible",VLOOKUP(Tabla4[[#This Row],[Llave ]],Facturas!A:X,8,FALSE),"")</f>
        <v/>
      </c>
      <c r="G94" s="119">
        <f>IF(Facturas!Q54="Cuenta 34: Activo intangible",IF(OR(Facturas!T54="Cancelado",Facturas!T54="Pendiente"),+VLOOKUP(Tabla4[[#This Row],[Llave ]],Facturas!A:T,16),0),0)</f>
        <v>0</v>
      </c>
      <c r="H94" s="172" t="str">
        <f>IF(Facturas!Q54="Cuenta 34: Activo intangible",VLOOKUP(Tabla4[[#This Row],[Llave ]],Facturas!A:X,23,FALSE),"")</f>
        <v/>
      </c>
    </row>
    <row r="95" spans="1:8" x14ac:dyDescent="0.3">
      <c r="A95">
        <v>1053</v>
      </c>
      <c r="B95" s="171" t="str">
        <f>+_xlfn.IFNA(IF(Facturas!Q55="Cuenta 34: Activo intangible",VLOOKUP(Tabla4[[#This Row],[Llave ]],Facturas!A:V,2,FALSE),"No tiene código"),"")</f>
        <v>P202302</v>
      </c>
      <c r="C95">
        <f>_xlfn.IFNA(IF(Facturas!Q55="Cuenta 34: Activo intangible",+VLOOKUP(Tabla4[[#This Row],[Llave ]],Facturas!A:D,3,FALSE),"Gasto"),"")</f>
        <v>2023</v>
      </c>
      <c r="E95" s="119">
        <f>IF(Facturas!Q55="Cuenta 34: Activo intangible",+VLOOKUP(Tabla4[[#This Row],[Llave ]],Facturas!A:P,16,FALSE),0)</f>
        <v>5460</v>
      </c>
      <c r="F95" s="173">
        <f>IF(Facturas!Q55="Cuenta 34: Activo intangible",VLOOKUP(Tabla4[[#This Row],[Llave ]],Facturas!A:X,8,FALSE),"")</f>
        <v>44986</v>
      </c>
      <c r="G95" s="119">
        <f>IF(Facturas!Q55="Cuenta 34: Activo intangible",IF(OR(Facturas!T55="Cancelado",Facturas!T55="Pendiente"),+VLOOKUP(Tabla4[[#This Row],[Llave ]],Facturas!A:T,16),0),0)</f>
        <v>5460</v>
      </c>
      <c r="H95" s="172">
        <f>IF(Facturas!Q55="Cuenta 34: Activo intangible",VLOOKUP(Tabla4[[#This Row],[Llave ]],Facturas!A:X,23,FALSE),"")</f>
        <v>45139</v>
      </c>
    </row>
    <row r="96" spans="1:8" x14ac:dyDescent="0.3">
      <c r="A96">
        <v>1054</v>
      </c>
      <c r="B96" s="171" t="str">
        <f>+_xlfn.IFNA(IF(Facturas!Q56="Cuenta 34: Activo intangible",VLOOKUP(Tabla4[[#This Row],[Llave ]],Facturas!A:V,2,FALSE),"No tiene código"),"")</f>
        <v>No tiene código</v>
      </c>
      <c r="C96" t="str">
        <f>_xlfn.IFNA(IF(Facturas!Q56="Cuenta 34: Activo intangible",+VLOOKUP(Tabla4[[#This Row],[Llave ]],Facturas!A:D,3,FALSE),"Gasto"),"")</f>
        <v>Gasto</v>
      </c>
      <c r="E96" s="119">
        <f>IF(Facturas!Q56="Cuenta 34: Activo intangible",+VLOOKUP(Tabla4[[#This Row],[Llave ]],Facturas!A:P,16,FALSE),0)</f>
        <v>0</v>
      </c>
      <c r="F96" s="173" t="str">
        <f>IF(Facturas!Q56="Cuenta 34: Activo intangible",VLOOKUP(Tabla4[[#This Row],[Llave ]],Facturas!A:X,8,FALSE),"")</f>
        <v/>
      </c>
      <c r="G96" s="119">
        <f>IF(Facturas!Q56="Cuenta 34: Activo intangible",IF(OR(Facturas!T56="Cancelado",Facturas!T56="Pendiente"),+VLOOKUP(Tabla4[[#This Row],[Llave ]],Facturas!A:T,16),0),0)</f>
        <v>0</v>
      </c>
      <c r="H96" s="172" t="str">
        <f>IF(Facturas!Q56="Cuenta 34: Activo intangible",VLOOKUP(Tabla4[[#This Row],[Llave ]],Facturas!A:X,23,FALSE),"")</f>
        <v/>
      </c>
    </row>
    <row r="97" spans="1:8" x14ac:dyDescent="0.3">
      <c r="A97">
        <v>1055</v>
      </c>
      <c r="B97" s="171" t="str">
        <f>+_xlfn.IFNA(IF(Facturas!Q57="Cuenta 34: Activo intangible",VLOOKUP(Tabla4[[#This Row],[Llave ]],Facturas!A:V,2,FALSE),"No tiene código"),"")</f>
        <v/>
      </c>
      <c r="C97">
        <f>_xlfn.IFNA(IF(Facturas!Q57="Cuenta 34: Activo intangible",+VLOOKUP(Tabla4[[#This Row],[Llave ]],Facturas!A:D,3,FALSE),"Gasto"),"")</f>
        <v>2022</v>
      </c>
      <c r="E97" s="119">
        <f>IF(Facturas!Q57="Cuenta 34: Activo intangible",+VLOOKUP(Tabla4[[#This Row],[Llave ]],Facturas!A:P,16,FALSE),0)</f>
        <v>2333.33</v>
      </c>
      <c r="F97" s="173">
        <f>IF(Facturas!Q57="Cuenta 34: Activo intangible",VLOOKUP(Tabla4[[#This Row],[Llave ]],Facturas!A:X,8,FALSE),"")</f>
        <v>0</v>
      </c>
      <c r="G97" s="119">
        <f>IF(Facturas!Q57="Cuenta 34: Activo intangible",IF(OR(Facturas!T57="Cancelado",Facturas!T57="Pendiente"),+VLOOKUP(Tabla4[[#This Row],[Llave ]],Facturas!A:T,16),0),0)</f>
        <v>2333.33</v>
      </c>
      <c r="H97" s="172">
        <f>IF(Facturas!Q57="Cuenta 34: Activo intangible",VLOOKUP(Tabla4[[#This Row],[Llave ]],Facturas!A:X,23,FALSE),"")</f>
        <v>45170</v>
      </c>
    </row>
    <row r="98" spans="1:8" x14ac:dyDescent="0.3">
      <c r="A98">
        <v>1056</v>
      </c>
      <c r="B98" s="171" t="str">
        <f>+_xlfn.IFNA(IF(Facturas!Q58="Cuenta 34: Activo intangible",VLOOKUP(Tabla4[[#This Row],[Llave ]],Facturas!A:V,2,FALSE),"No tiene código"),"")</f>
        <v>P202302</v>
      </c>
      <c r="C98">
        <f>_xlfn.IFNA(IF(Facturas!Q58="Cuenta 34: Activo intangible",+VLOOKUP(Tabla4[[#This Row],[Llave ]],Facturas!A:D,3,FALSE),"Gasto"),"")</f>
        <v>2023</v>
      </c>
      <c r="E98" s="119">
        <f>IF(Facturas!Q58="Cuenta 34: Activo intangible",+VLOOKUP(Tabla4[[#This Row],[Llave ]],Facturas!A:P,16,FALSE),0)</f>
        <v>2485</v>
      </c>
      <c r="F98" s="173">
        <f>IF(Facturas!Q58="Cuenta 34: Activo intangible",VLOOKUP(Tabla4[[#This Row],[Llave ]],Facturas!A:X,8,FALSE),"")</f>
        <v>44986</v>
      </c>
      <c r="G98" s="119">
        <f>IF(Facturas!Q58="Cuenta 34: Activo intangible",IF(OR(Facturas!T58="Cancelado",Facturas!T58="Pendiente"),+VLOOKUP(Tabla4[[#This Row],[Llave ]],Facturas!A:T,16),0),0)</f>
        <v>2485</v>
      </c>
      <c r="H98" s="172">
        <f>IF(Facturas!Q58="Cuenta 34: Activo intangible",VLOOKUP(Tabla4[[#This Row],[Llave ]],Facturas!A:X,23,FALSE),"")</f>
        <v>45170</v>
      </c>
    </row>
    <row r="99" spans="1:8" x14ac:dyDescent="0.3">
      <c r="A99">
        <v>1057</v>
      </c>
      <c r="B99" s="171" t="str">
        <f>+_xlfn.IFNA(IF(Facturas!Q59="Cuenta 34: Activo intangible",VLOOKUP(Tabla4[[#This Row],[Llave ]],Facturas!A:V,2,FALSE),"No tiene código"),"")</f>
        <v>P202303</v>
      </c>
      <c r="C99">
        <f>_xlfn.IFNA(IF(Facturas!Q59="Cuenta 34: Activo intangible",+VLOOKUP(Tabla4[[#This Row],[Llave ]],Facturas!A:D,3,FALSE),"Gasto"),"")</f>
        <v>2023</v>
      </c>
      <c r="E99" s="119">
        <f>IF(Facturas!Q59="Cuenta 34: Activo intangible",+VLOOKUP(Tabla4[[#This Row],[Llave ]],Facturas!A:P,16,FALSE),0)</f>
        <v>2800</v>
      </c>
      <c r="F99" s="173">
        <f>IF(Facturas!Q59="Cuenta 34: Activo intangible",VLOOKUP(Tabla4[[#This Row],[Llave ]],Facturas!A:X,8,FALSE),"")</f>
        <v>45047</v>
      </c>
      <c r="G99" s="119">
        <f>IF(Facturas!Q59="Cuenta 34: Activo intangible",IF(OR(Facturas!T59="Cancelado",Facturas!T59="Pendiente"),+VLOOKUP(Tabla4[[#This Row],[Llave ]],Facturas!A:T,16),0),0)</f>
        <v>2800</v>
      </c>
      <c r="H99" s="172">
        <f>IF(Facturas!Q59="Cuenta 34: Activo intangible",VLOOKUP(Tabla4[[#This Row],[Llave ]],Facturas!A:X,23,FALSE),"")</f>
        <v>45170</v>
      </c>
    </row>
    <row r="100" spans="1:8" x14ac:dyDescent="0.3">
      <c r="A100">
        <v>1058</v>
      </c>
      <c r="B100" s="171" t="str">
        <f>+_xlfn.IFNA(IF(Facturas!Q60="Cuenta 34: Activo intangible",VLOOKUP(Tabla4[[#This Row],[Llave ]],Facturas!A:V,2,FALSE),"No tiene código"),"")</f>
        <v>No tiene código</v>
      </c>
      <c r="C100" t="str">
        <f>_xlfn.IFNA(IF(Facturas!Q60="Cuenta 34: Activo intangible",+VLOOKUP(Tabla4[[#This Row],[Llave ]],Facturas!A:D,3,FALSE),"Gasto"),"")</f>
        <v>Gasto</v>
      </c>
      <c r="E100" s="119">
        <f>IF(Facturas!Q60="Cuenta 34: Activo intangible",+VLOOKUP(Tabla4[[#This Row],[Llave ]],Facturas!A:P,16,FALSE),0)</f>
        <v>0</v>
      </c>
      <c r="F100" s="173" t="str">
        <f>IF(Facturas!Q60="Cuenta 34: Activo intangible",VLOOKUP(Tabla4[[#This Row],[Llave ]],Facturas!A:X,8,FALSE),"")</f>
        <v/>
      </c>
      <c r="G100" s="119">
        <f>IF(Facturas!Q60="Cuenta 34: Activo intangible",IF(OR(Facturas!T60="Cancelado",Facturas!T60="Pendiente"),+VLOOKUP(Tabla4[[#This Row],[Llave ]],Facturas!A:T,16),0),0)</f>
        <v>0</v>
      </c>
      <c r="H100" s="172" t="str">
        <f>IF(Facturas!Q60="Cuenta 34: Activo intangible",VLOOKUP(Tabla4[[#This Row],[Llave ]],Facturas!A:X,23,FALSE),"")</f>
        <v/>
      </c>
    </row>
    <row r="101" spans="1:8" x14ac:dyDescent="0.3">
      <c r="A101">
        <v>1059</v>
      </c>
      <c r="B101" s="171" t="str">
        <f>+_xlfn.IFNA(IF(Facturas!Q61="Cuenta 34: Activo intangible",VLOOKUP(Tabla4[[#This Row],[Llave ]],Facturas!A:V,2,FALSE),"No tiene código"),"")</f>
        <v>P202302</v>
      </c>
      <c r="C101">
        <f>_xlfn.IFNA(IF(Facturas!Q61="Cuenta 34: Activo intangible",+VLOOKUP(Tabla4[[#This Row],[Llave ]],Facturas!A:D,3,FALSE),"Gasto"),"")</f>
        <v>2023</v>
      </c>
      <c r="E101" s="119">
        <f>IF(Facturas!Q61="Cuenta 34: Activo intangible",+VLOOKUP(Tabla4[[#This Row],[Llave ]],Facturas!A:P,16,FALSE),0)</f>
        <v>5460</v>
      </c>
      <c r="F101" s="173">
        <f>IF(Facturas!Q61="Cuenta 34: Activo intangible",VLOOKUP(Tabla4[[#This Row],[Llave ]],Facturas!A:X,8,FALSE),"")</f>
        <v>44986</v>
      </c>
      <c r="G101" s="119">
        <f>IF(Facturas!Q61="Cuenta 34: Activo intangible",IF(OR(Facturas!T61="Cancelado",Facturas!T61="Pendiente"),+VLOOKUP(Tabla4[[#This Row],[Llave ]],Facturas!A:T,16),0),0)</f>
        <v>5460</v>
      </c>
      <c r="H101" s="172">
        <f>IF(Facturas!Q61="Cuenta 34: Activo intangible",VLOOKUP(Tabla4[[#This Row],[Llave ]],Facturas!A:X,23,FALSE),"")</f>
        <v>45170</v>
      </c>
    </row>
    <row r="102" spans="1:8" x14ac:dyDescent="0.3">
      <c r="A102">
        <v>1060</v>
      </c>
      <c r="B102" s="171" t="str">
        <f>+_xlfn.IFNA(IF(Facturas!Q62="Cuenta 34: Activo intangible",VLOOKUP(Tabla4[[#This Row],[Llave ]],Facturas!A:V,2,FALSE),"No tiene código"),"")</f>
        <v>P202304</v>
      </c>
      <c r="C102">
        <f>_xlfn.IFNA(IF(Facturas!Q62="Cuenta 34: Activo intangible",+VLOOKUP(Tabla4[[#This Row],[Llave ]],Facturas!A:D,3,FALSE),"Gasto"),"")</f>
        <v>2023</v>
      </c>
      <c r="E102" s="119">
        <f>IF(Facturas!Q62="Cuenta 34: Activo intangible",+VLOOKUP(Tabla4[[#This Row],[Llave ]],Facturas!A:P,16,FALSE),0)</f>
        <v>4640</v>
      </c>
      <c r="F102" s="173">
        <f>IF(Facturas!Q62="Cuenta 34: Activo intangible",VLOOKUP(Tabla4[[#This Row],[Llave ]],Facturas!A:X,8,FALSE),"")</f>
        <v>45139</v>
      </c>
      <c r="G102" s="119">
        <f>IF(Facturas!Q62="Cuenta 34: Activo intangible",IF(OR(Facturas!T62="Cancelado",Facturas!T62="Pendiente"),+VLOOKUP(Tabla4[[#This Row],[Llave ]],Facturas!A:T,16),0),0)</f>
        <v>4640</v>
      </c>
      <c r="H102" s="172">
        <f>IF(Facturas!Q62="Cuenta 34: Activo intangible",VLOOKUP(Tabla4[[#This Row],[Llave ]],Facturas!A:X,23,FALSE),"")</f>
        <v>45170</v>
      </c>
    </row>
    <row r="103" spans="1:8" x14ac:dyDescent="0.3">
      <c r="A103">
        <v>1061</v>
      </c>
      <c r="B103" s="171" t="str">
        <f>+_xlfn.IFNA(IF(Facturas!Q63="Cuenta 34: Activo intangible",VLOOKUP(Tabla4[[#This Row],[Llave ]],Facturas!A:V,2,FALSE),"No tiene código"),"")</f>
        <v>P202307</v>
      </c>
      <c r="C103">
        <f>_xlfn.IFNA(IF(Facturas!Q63="Cuenta 34: Activo intangible",+VLOOKUP(Tabla4[[#This Row],[Llave ]],Facturas!A:D,3,FALSE),"Gasto"),"")</f>
        <v>2023</v>
      </c>
      <c r="E103" s="119">
        <f>IF(Facturas!Q63="Cuenta 34: Activo intangible",+VLOOKUP(Tabla4[[#This Row],[Llave ]],Facturas!A:P,16,FALSE),0)</f>
        <v>4110</v>
      </c>
      <c r="F103" s="173">
        <f>IF(Facturas!Q63="Cuenta 34: Activo intangible",VLOOKUP(Tabla4[[#This Row],[Llave ]],Facturas!A:X,8,FALSE),"")</f>
        <v>45139</v>
      </c>
      <c r="G103" s="119">
        <f>IF(Facturas!Q63="Cuenta 34: Activo intangible",IF(OR(Facturas!T63="Cancelado",Facturas!T63="Pendiente"),+VLOOKUP(Tabla4[[#This Row],[Llave ]],Facturas!A:T,16),0),0)</f>
        <v>4110</v>
      </c>
      <c r="H103" s="172">
        <f>IF(Facturas!Q63="Cuenta 34: Activo intangible",VLOOKUP(Tabla4[[#This Row],[Llave ]],Facturas!A:X,23,FALSE),"")</f>
        <v>45170</v>
      </c>
    </row>
    <row r="104" spans="1:8" x14ac:dyDescent="0.3">
      <c r="A104">
        <v>1062</v>
      </c>
      <c r="B104" s="171" t="str">
        <f>+_xlfn.IFNA(IF(Facturas!Q64="Cuenta 34: Activo intangible",VLOOKUP(Tabla4[[#This Row],[Llave ]],Facturas!A:V,2,FALSE),"No tiene código"),"")</f>
        <v>P202307</v>
      </c>
      <c r="C104">
        <f>_xlfn.IFNA(IF(Facturas!Q64="Cuenta 34: Activo intangible",+VLOOKUP(Tabla4[[#This Row],[Llave ]],Facturas!A:D,3,FALSE),"Gasto"),"")</f>
        <v>2023</v>
      </c>
      <c r="E104" s="119">
        <f>IF(Facturas!Q64="Cuenta 34: Activo intangible",+VLOOKUP(Tabla4[[#This Row],[Llave ]],Facturas!A:P,16,FALSE),0)</f>
        <v>700</v>
      </c>
      <c r="F104" s="173">
        <f>IF(Facturas!Q64="Cuenta 34: Activo intangible",VLOOKUP(Tabla4[[#This Row],[Llave ]],Facturas!A:X,8,FALSE),"")</f>
        <v>45139</v>
      </c>
      <c r="G104" s="119">
        <f>IF(Facturas!Q64="Cuenta 34: Activo intangible",IF(OR(Facturas!T64="Cancelado",Facturas!T64="Pendiente"),+VLOOKUP(Tabla4[[#This Row],[Llave ]],Facturas!A:T,16),0),0)</f>
        <v>700</v>
      </c>
      <c r="H104" s="172">
        <f>IF(Facturas!Q64="Cuenta 34: Activo intangible",VLOOKUP(Tabla4[[#This Row],[Llave ]],Facturas!A:X,23,FALSE),"")</f>
        <v>45170</v>
      </c>
    </row>
    <row r="105" spans="1:8" x14ac:dyDescent="0.3">
      <c r="A105">
        <v>1063</v>
      </c>
      <c r="B105" s="171" t="str">
        <f>+_xlfn.IFNA(IF(Facturas!Q65="Cuenta 34: Activo intangible",VLOOKUP(Tabla4[[#This Row],[Llave ]],Facturas!A:V,2,FALSE),"No tiene código"),"")</f>
        <v>No tiene código</v>
      </c>
      <c r="C105" t="str">
        <f>_xlfn.IFNA(IF(Facturas!Q65="Cuenta 34: Activo intangible",+VLOOKUP(Tabla4[[#This Row],[Llave ]],Facturas!A:D,3,FALSE),"Gasto"),"")</f>
        <v>Gasto</v>
      </c>
      <c r="E105" s="119">
        <f>IF(Facturas!Q65="Cuenta 34: Activo intangible",+VLOOKUP(Tabla4[[#This Row],[Llave ]],Facturas!A:P,16,FALSE),0)</f>
        <v>0</v>
      </c>
      <c r="F105" s="173" t="str">
        <f>IF(Facturas!Q65="Cuenta 34: Activo intangible",VLOOKUP(Tabla4[[#This Row],[Llave ]],Facturas!A:X,8,FALSE),"")</f>
        <v/>
      </c>
      <c r="G105" s="119">
        <f>IF(Facturas!Q65="Cuenta 34: Activo intangible",IF(OR(Facturas!T65="Cancelado",Facturas!T65="Pendiente"),+VLOOKUP(Tabla4[[#This Row],[Llave ]],Facturas!A:T,16),0),0)</f>
        <v>0</v>
      </c>
      <c r="H105" s="172" t="str">
        <f>IF(Facturas!Q65="Cuenta 34: Activo intangible",VLOOKUP(Tabla4[[#This Row],[Llave ]],Facturas!A:X,23,FALSE),"")</f>
        <v/>
      </c>
    </row>
    <row r="106" spans="1:8" x14ac:dyDescent="0.3">
      <c r="A106">
        <v>1064</v>
      </c>
      <c r="B106" s="171" t="str">
        <f>+_xlfn.IFNA(IF(Facturas!Q66="Cuenta 34: Activo intangible",VLOOKUP(Tabla4[[#This Row],[Llave ]],Facturas!A:V,2,FALSE),"No tiene código"),"")</f>
        <v>P202302</v>
      </c>
      <c r="C106">
        <f>_xlfn.IFNA(IF(Facturas!Q66="Cuenta 34: Activo intangible",+VLOOKUP(Tabla4[[#This Row],[Llave ]],Facturas!A:D,3,FALSE),"Gasto"),"")</f>
        <v>2023</v>
      </c>
      <c r="E106" s="119">
        <f>IF(Facturas!Q66="Cuenta 34: Activo intangible",+VLOOKUP(Tabla4[[#This Row],[Llave ]],Facturas!A:P,16,FALSE),0)</f>
        <v>5460</v>
      </c>
      <c r="F106" s="173">
        <f>IF(Facturas!Q66="Cuenta 34: Activo intangible",VLOOKUP(Tabla4[[#This Row],[Llave ]],Facturas!A:X,8,FALSE),"")</f>
        <v>44986</v>
      </c>
      <c r="G106" s="119">
        <f>IF(Facturas!Q66="Cuenta 34: Activo intangible",IF(OR(Facturas!T66="Cancelado",Facturas!T66="Pendiente"),+VLOOKUP(Tabla4[[#This Row],[Llave ]],Facturas!A:T,16),0),0)</f>
        <v>0</v>
      </c>
      <c r="H106" s="172">
        <f>IF(Facturas!Q66="Cuenta 34: Activo intangible",VLOOKUP(Tabla4[[#This Row],[Llave ]],Facturas!A:X,23,FALSE),"")</f>
        <v>45200</v>
      </c>
    </row>
    <row r="107" spans="1:8" x14ac:dyDescent="0.3">
      <c r="A107">
        <v>1065</v>
      </c>
      <c r="B107" s="171" t="str">
        <f>+_xlfn.IFNA(IF(Facturas!Q67="Cuenta 34: Activo intangible",VLOOKUP(Tabla4[[#This Row],[Llave ]],Facturas!A:V,2,FALSE),"No tiene código"),"")</f>
        <v>P202304</v>
      </c>
      <c r="C107">
        <f>_xlfn.IFNA(IF(Facturas!Q67="Cuenta 34: Activo intangible",+VLOOKUP(Tabla4[[#This Row],[Llave ]],Facturas!A:D,3,FALSE),"Gasto"),"")</f>
        <v>2023</v>
      </c>
      <c r="E107" s="119">
        <f>IF(Facturas!Q67="Cuenta 34: Activo intangible",+VLOOKUP(Tabla4[[#This Row],[Llave ]],Facturas!A:P,16,FALSE),0)</f>
        <v>4640</v>
      </c>
      <c r="F107" s="173">
        <f>IF(Facturas!Q67="Cuenta 34: Activo intangible",VLOOKUP(Tabla4[[#This Row],[Llave ]],Facturas!A:X,8,FALSE),"")</f>
        <v>45139</v>
      </c>
      <c r="G107" s="119">
        <f>IF(Facturas!Q67="Cuenta 34: Activo intangible",IF(OR(Facturas!T67="Cancelado",Facturas!T67="Pendiente"),+VLOOKUP(Tabla4[[#This Row],[Llave ]],Facturas!A:T,16),0),0)</f>
        <v>4640</v>
      </c>
      <c r="H107" s="172">
        <f>IF(Facturas!Q67="Cuenta 34: Activo intangible",VLOOKUP(Tabla4[[#This Row],[Llave ]],Facturas!A:X,23,FALSE),"")</f>
        <v>45200</v>
      </c>
    </row>
    <row r="108" spans="1:8" x14ac:dyDescent="0.3">
      <c r="A108">
        <v>1066</v>
      </c>
      <c r="B108" s="171" t="str">
        <f>+_xlfn.IFNA(IF(Facturas!Q68="Cuenta 34: Activo intangible",VLOOKUP(Tabla4[[#This Row],[Llave ]],Facturas!A:V,2,FALSE),"No tiene código"),"")</f>
        <v>P202307</v>
      </c>
      <c r="C108">
        <f>_xlfn.IFNA(IF(Facturas!Q68="Cuenta 34: Activo intangible",+VLOOKUP(Tabla4[[#This Row],[Llave ]],Facturas!A:D,3,FALSE),"Gasto"),"")</f>
        <v>2023</v>
      </c>
      <c r="E108" s="119">
        <f>IF(Facturas!Q68="Cuenta 34: Activo intangible",+VLOOKUP(Tabla4[[#This Row],[Llave ]],Facturas!A:P,16,FALSE),0)</f>
        <v>4795</v>
      </c>
      <c r="F108" s="173">
        <f>IF(Facturas!Q68="Cuenta 34: Activo intangible",VLOOKUP(Tabla4[[#This Row],[Llave ]],Facturas!A:X,8,FALSE),"")</f>
        <v>45139</v>
      </c>
      <c r="G108" s="119">
        <f>IF(Facturas!Q68="Cuenta 34: Activo intangible",IF(OR(Facturas!T68="Cancelado",Facturas!T68="Pendiente"),+VLOOKUP(Tabla4[[#This Row],[Llave ]],Facturas!A:T,16),0),0)</f>
        <v>4795</v>
      </c>
      <c r="H108" s="172">
        <f>IF(Facturas!Q68="Cuenta 34: Activo intangible",VLOOKUP(Tabla4[[#This Row],[Llave ]],Facturas!A:X,23,FALSE),"")</f>
        <v>45200</v>
      </c>
    </row>
    <row r="109" spans="1:8" x14ac:dyDescent="0.3">
      <c r="A109">
        <v>1067</v>
      </c>
      <c r="B109" s="171" t="str">
        <f>+_xlfn.IFNA(IF(Facturas!Q69="Cuenta 34: Activo intangible",VLOOKUP(Tabla4[[#This Row],[Llave ]],Facturas!A:V,2,FALSE),"No tiene código"),"")</f>
        <v>P202314</v>
      </c>
      <c r="C109">
        <f>_xlfn.IFNA(IF(Facturas!Q69="Cuenta 34: Activo intangible",+VLOOKUP(Tabla4[[#This Row],[Llave ]],Facturas!A:D,3,FALSE),"Gasto"),"")</f>
        <v>2023</v>
      </c>
      <c r="E109" s="119">
        <f>IF(Facturas!Q69="Cuenta 34: Activo intangible",+VLOOKUP(Tabla4[[#This Row],[Llave ]],Facturas!A:P,16,FALSE),0)</f>
        <v>4840</v>
      </c>
      <c r="F109" s="173">
        <f>IF(Facturas!Q69="Cuenta 34: Activo intangible",VLOOKUP(Tabla4[[#This Row],[Llave ]],Facturas!A:X,8,FALSE),"")</f>
        <v>45170</v>
      </c>
      <c r="G109" s="119">
        <f>IF(Facturas!Q69="Cuenta 34: Activo intangible",IF(OR(Facturas!T69="Cancelado",Facturas!T69="Pendiente"),+VLOOKUP(Tabla4[[#This Row],[Llave ]],Facturas!A:T,16),0),0)</f>
        <v>4840</v>
      </c>
      <c r="H109" s="172">
        <f>IF(Facturas!Q69="Cuenta 34: Activo intangible",VLOOKUP(Tabla4[[#This Row],[Llave ]],Facturas!A:X,23,FALSE),"")</f>
        <v>45200</v>
      </c>
    </row>
    <row r="110" spans="1:8" x14ac:dyDescent="0.3">
      <c r="A110">
        <v>1068</v>
      </c>
      <c r="B110" s="171" t="str">
        <f>+_xlfn.IFNA(IF(Facturas!Q70="Cuenta 34: Activo intangible",VLOOKUP(Tabla4[[#This Row],[Llave ]],Facturas!A:V,2,FALSE),"No tiene código"),"")</f>
        <v>P202314</v>
      </c>
      <c r="C110">
        <f>_xlfn.IFNA(IF(Facturas!Q70="Cuenta 34: Activo intangible",+VLOOKUP(Tabla4[[#This Row],[Llave ]],Facturas!A:D,3,FALSE),"Gasto"),"")</f>
        <v>2023</v>
      </c>
      <c r="E110" s="119">
        <f>IF(Facturas!Q70="Cuenta 34: Activo intangible",+VLOOKUP(Tabla4[[#This Row],[Llave ]],Facturas!A:P,16,FALSE),0)</f>
        <v>1170</v>
      </c>
      <c r="F110" s="173">
        <f>IF(Facturas!Q70="Cuenta 34: Activo intangible",VLOOKUP(Tabla4[[#This Row],[Llave ]],Facturas!A:X,8,FALSE),"")</f>
        <v>45170</v>
      </c>
      <c r="G110" s="119">
        <f>IF(Facturas!Q70="Cuenta 34: Activo intangible",IF(OR(Facturas!T70="Cancelado",Facturas!T70="Pendiente"),+VLOOKUP(Tabla4[[#This Row],[Llave ]],Facturas!A:T,16),0),0)</f>
        <v>0</v>
      </c>
      <c r="H110" s="172">
        <f>IF(Facturas!Q70="Cuenta 34: Activo intangible",VLOOKUP(Tabla4[[#This Row],[Llave ]],Facturas!A:X,23,FALSE),"")</f>
        <v>45200</v>
      </c>
    </row>
    <row r="111" spans="1:8" x14ac:dyDescent="0.3">
      <c r="A111">
        <v>1069</v>
      </c>
      <c r="B111" s="171" t="str">
        <f>+_xlfn.IFNA(IF(Facturas!Q71="Cuenta 34: Activo intangible",VLOOKUP(Tabla4[[#This Row],[Llave ]],Facturas!A:V,2,FALSE),"No tiene código"),"")</f>
        <v>P202313</v>
      </c>
      <c r="C111">
        <f>_xlfn.IFNA(IF(Facturas!Q71="Cuenta 34: Activo intangible",+VLOOKUP(Tabla4[[#This Row],[Llave ]],Facturas!A:D,3,FALSE),"Gasto"),"")</f>
        <v>2023</v>
      </c>
      <c r="E111" s="119">
        <f>IF(Facturas!Q71="Cuenta 34: Activo intangible",+VLOOKUP(Tabla4[[#This Row],[Llave ]],Facturas!A:P,16,FALSE),0)</f>
        <v>5600</v>
      </c>
      <c r="F111" s="173">
        <f>IF(Facturas!Q71="Cuenta 34: Activo intangible",VLOOKUP(Tabla4[[#This Row],[Llave ]],Facturas!A:X,8,FALSE),"")</f>
        <v>45200</v>
      </c>
      <c r="G111" s="119">
        <f>IF(Facturas!Q71="Cuenta 34: Activo intangible",IF(OR(Facturas!T71="Cancelado",Facturas!T71="Pendiente"),+VLOOKUP(Tabla4[[#This Row],[Llave ]],Facturas!A:T,16),0),0)</f>
        <v>5600</v>
      </c>
      <c r="H111" s="172">
        <f>IF(Facturas!Q71="Cuenta 34: Activo intangible",VLOOKUP(Tabla4[[#This Row],[Llave ]],Facturas!A:X,23,FALSE),"")</f>
        <v>45200</v>
      </c>
    </row>
    <row r="112" spans="1:8" x14ac:dyDescent="0.3">
      <c r="A112">
        <v>1070</v>
      </c>
      <c r="B112" s="171" t="str">
        <f>+_xlfn.IFNA(IF(Facturas!Q72="Cuenta 34: Activo intangible",VLOOKUP(Tabla4[[#This Row],[Llave ]],Facturas!A:V,2,FALSE),"No tiene código"),"")</f>
        <v>No tiene código</v>
      </c>
      <c r="C112" t="str">
        <f>_xlfn.IFNA(IF(Facturas!Q72="Cuenta 34: Activo intangible",+VLOOKUP(Tabla4[[#This Row],[Llave ]],Facturas!A:D,3,FALSE),"Gasto"),"")</f>
        <v>Gasto</v>
      </c>
      <c r="E112" s="119">
        <f>IF(Facturas!Q72="Cuenta 34: Activo intangible",+VLOOKUP(Tabla4[[#This Row],[Llave ]],Facturas!A:P,16,FALSE),0)</f>
        <v>0</v>
      </c>
      <c r="F112" s="173" t="str">
        <f>IF(Facturas!Q72="Cuenta 34: Activo intangible",VLOOKUP(Tabla4[[#This Row],[Llave ]],Facturas!A:X,8,FALSE),"")</f>
        <v/>
      </c>
      <c r="G112" s="119">
        <f>IF(Facturas!Q72="Cuenta 34: Activo intangible",IF(OR(Facturas!T72="Cancelado",Facturas!T72="Pendiente"),+VLOOKUP(Tabla4[[#This Row],[Llave ]],Facturas!A:T,16),0),0)</f>
        <v>0</v>
      </c>
      <c r="H112" s="172" t="str">
        <f>IF(Facturas!Q72="Cuenta 34: Activo intangible",VLOOKUP(Tabla4[[#This Row],[Llave ]],Facturas!A:X,23,FALSE),"")</f>
        <v/>
      </c>
    </row>
    <row r="113" spans="1:8" x14ac:dyDescent="0.3">
      <c r="A113">
        <v>1071</v>
      </c>
      <c r="B113" s="171" t="str">
        <f>+_xlfn.IFNA(IF(Facturas!Q73="Cuenta 34: Activo intangible",VLOOKUP(Tabla4[[#This Row],[Llave ]],Facturas!A:V,2,FALSE),"No tiene código"),"")</f>
        <v>No tiene código</v>
      </c>
      <c r="C113" t="str">
        <f>_xlfn.IFNA(IF(Facturas!Q73="Cuenta 34: Activo intangible",+VLOOKUP(Tabla4[[#This Row],[Llave ]],Facturas!A:D,3,FALSE),"Gasto"),"")</f>
        <v>Gasto</v>
      </c>
      <c r="E113" s="119">
        <f>IF(Facturas!Q73="Cuenta 34: Activo intangible",+VLOOKUP(Tabla4[[#This Row],[Llave ]],Facturas!A:P,16,FALSE),0)</f>
        <v>0</v>
      </c>
      <c r="F113" s="173" t="str">
        <f>IF(Facturas!Q73="Cuenta 34: Activo intangible",VLOOKUP(Tabla4[[#This Row],[Llave ]],Facturas!A:X,8,FALSE),"")</f>
        <v/>
      </c>
      <c r="G113" s="119">
        <f>IF(Facturas!Q73="Cuenta 34: Activo intangible",IF(OR(Facturas!T73="Cancelado",Facturas!T73="Pendiente"),+VLOOKUP(Tabla4[[#This Row],[Llave ]],Facturas!A:T,16),0),0)</f>
        <v>0</v>
      </c>
      <c r="H113" s="172" t="str">
        <f>IF(Facturas!Q73="Cuenta 34: Activo intangible",VLOOKUP(Tabla4[[#This Row],[Llave ]],Facturas!A:X,23,FALSE),"")</f>
        <v/>
      </c>
    </row>
    <row r="114" spans="1:8" x14ac:dyDescent="0.3">
      <c r="A114">
        <v>1072</v>
      </c>
      <c r="B114" s="171" t="str">
        <f>+_xlfn.IFNA(IF(Facturas!Q74="Cuenta 34: Activo intangible",VLOOKUP(Tabla4[[#This Row],[Llave ]],Facturas!A:V,2,FALSE),"No tiene código"),"")</f>
        <v>P202307</v>
      </c>
      <c r="C114">
        <f>_xlfn.IFNA(IF(Facturas!Q74="Cuenta 34: Activo intangible",+VLOOKUP(Tabla4[[#This Row],[Llave ]],Facturas!A:D,3,FALSE),"Gasto"),"")</f>
        <v>2023</v>
      </c>
      <c r="E114" s="119">
        <f>IF(Facturas!Q74="Cuenta 34: Activo intangible",+VLOOKUP(Tabla4[[#This Row],[Llave ]],Facturas!A:P,16,FALSE),0)</f>
        <v>4795</v>
      </c>
      <c r="F114" s="173">
        <f>IF(Facturas!Q74="Cuenta 34: Activo intangible",VLOOKUP(Tabla4[[#This Row],[Llave ]],Facturas!A:X,8,FALSE),"")</f>
        <v>45139</v>
      </c>
      <c r="G114" s="119">
        <f>IF(Facturas!Q74="Cuenta 34: Activo intangible",IF(OR(Facturas!T74="Cancelado",Facturas!T74="Pendiente"),+VLOOKUP(Tabla4[[#This Row],[Llave ]],Facturas!A:T,16),0),0)</f>
        <v>0</v>
      </c>
      <c r="H114" s="172">
        <f>IF(Facturas!Q74="Cuenta 34: Activo intangible",VLOOKUP(Tabla4[[#This Row],[Llave ]],Facturas!A:X,23,FALSE),"")</f>
        <v>45231</v>
      </c>
    </row>
    <row r="115" spans="1:8" x14ac:dyDescent="0.3">
      <c r="A115">
        <v>1073</v>
      </c>
      <c r="B115" s="171" t="str">
        <f>+_xlfn.IFNA(IF(Facturas!Q75="Cuenta 34: Activo intangible",VLOOKUP(Tabla4[[#This Row],[Llave ]],Facturas!A:V,2,FALSE),"No tiene código"),"")</f>
        <v>P202314</v>
      </c>
      <c r="C115">
        <f>_xlfn.IFNA(IF(Facturas!Q75="Cuenta 34: Activo intangible",+VLOOKUP(Tabla4[[#This Row],[Llave ]],Facturas!A:D,3,FALSE),"Gasto"),"")</f>
        <v>2023</v>
      </c>
      <c r="E115" s="119">
        <f>IF(Facturas!Q75="Cuenta 34: Activo intangible",+VLOOKUP(Tabla4[[#This Row],[Llave ]],Facturas!A:P,16,FALSE),0)</f>
        <v>4840</v>
      </c>
      <c r="F115" s="173">
        <f>IF(Facturas!Q75="Cuenta 34: Activo intangible",VLOOKUP(Tabla4[[#This Row],[Llave ]],Facturas!A:X,8,FALSE),"")</f>
        <v>45170</v>
      </c>
      <c r="G115" s="119">
        <f>IF(Facturas!Q75="Cuenta 34: Activo intangible",IF(OR(Facturas!T75="Cancelado",Facturas!T75="Pendiente"),+VLOOKUP(Tabla4[[#This Row],[Llave ]],Facturas!A:T,16),0),0)</f>
        <v>0</v>
      </c>
      <c r="H115" s="172">
        <f>IF(Facturas!Q75="Cuenta 34: Activo intangible",VLOOKUP(Tabla4[[#This Row],[Llave ]],Facturas!A:X,23,FALSE),"")</f>
        <v>45231</v>
      </c>
    </row>
    <row r="116" spans="1:8" x14ac:dyDescent="0.3">
      <c r="A116">
        <v>1074</v>
      </c>
      <c r="B116" s="171" t="str">
        <f>+_xlfn.IFNA(IF(Facturas!Q76="Cuenta 34: Activo intangible",VLOOKUP(Tabla4[[#This Row],[Llave ]],Facturas!A:V,2,FALSE),"No tiene código"),"")</f>
        <v>P202305</v>
      </c>
      <c r="C116">
        <f>_xlfn.IFNA(IF(Facturas!Q76="Cuenta 34: Activo intangible",+VLOOKUP(Tabla4[[#This Row],[Llave ]],Facturas!A:D,3,FALSE),"Gasto"),"")</f>
        <v>2023</v>
      </c>
      <c r="E116" s="119">
        <f>IF(Facturas!Q76="Cuenta 34: Activo intangible",+VLOOKUP(Tabla4[[#This Row],[Llave ]],Facturas!A:P,16,FALSE),0)</f>
        <v>7150</v>
      </c>
      <c r="F116" s="173">
        <f>IF(Facturas!Q76="Cuenta 34: Activo intangible",VLOOKUP(Tabla4[[#This Row],[Llave ]],Facturas!A:X,8,FALSE),"")</f>
        <v>45200</v>
      </c>
      <c r="G116" s="119">
        <f>IF(Facturas!Q76="Cuenta 34: Activo intangible",IF(OR(Facturas!T76="Cancelado",Facturas!T76="Pendiente"),+VLOOKUP(Tabla4[[#This Row],[Llave ]],Facturas!A:T,16),0),0)</f>
        <v>7150</v>
      </c>
      <c r="H116" s="172">
        <f>IF(Facturas!Q76="Cuenta 34: Activo intangible",VLOOKUP(Tabla4[[#This Row],[Llave ]],Facturas!A:X,23,FALSE),"")</f>
        <v>45231</v>
      </c>
    </row>
    <row r="117" spans="1:8" x14ac:dyDescent="0.3">
      <c r="A117">
        <v>1075</v>
      </c>
      <c r="B117" s="171" t="str">
        <f>+_xlfn.IFNA(IF(Facturas!Q77="Cuenta 34: Activo intangible",VLOOKUP(Tabla4[[#This Row],[Llave ]],Facturas!A:V,2,FALSE),"No tiene código"),"")</f>
        <v>P202307</v>
      </c>
      <c r="C117">
        <f>_xlfn.IFNA(IF(Facturas!Q77="Cuenta 34: Activo intangible",+VLOOKUP(Tabla4[[#This Row],[Llave ]],Facturas!A:D,3,FALSE),"Gasto"),"")</f>
        <v>2023</v>
      </c>
      <c r="E117" s="119">
        <f>IF(Facturas!Q77="Cuenta 34: Activo intangible",+VLOOKUP(Tabla4[[#This Row],[Llave ]],Facturas!A:P,16,FALSE),0)</f>
        <v>3000</v>
      </c>
      <c r="F117" s="173">
        <f>IF(Facturas!Q77="Cuenta 34: Activo intangible",VLOOKUP(Tabla4[[#This Row],[Llave ]],Facturas!A:X,8,FALSE),"")</f>
        <v>45200</v>
      </c>
      <c r="G117" s="119">
        <f>IF(Facturas!Q77="Cuenta 34: Activo intangible",IF(OR(Facturas!T77="Cancelado",Facturas!T77="Pendiente"),+VLOOKUP(Tabla4[[#This Row],[Llave ]],Facturas!A:T,16),0),0)</f>
        <v>3000</v>
      </c>
      <c r="H117" s="172">
        <f>IF(Facturas!Q77="Cuenta 34: Activo intangible",VLOOKUP(Tabla4[[#This Row],[Llave ]],Facturas!A:X,23,FALSE),"")</f>
        <v>45231</v>
      </c>
    </row>
    <row r="118" spans="1:8" x14ac:dyDescent="0.3">
      <c r="A118">
        <v>1076</v>
      </c>
      <c r="B118" s="171" t="str">
        <f>+_xlfn.IFNA(IF(Facturas!Q78="Cuenta 34: Activo intangible",VLOOKUP(Tabla4[[#This Row],[Llave ]],Facturas!A:V,2,FALSE),"No tiene código"),"")</f>
        <v>No tiene código</v>
      </c>
      <c r="C118" t="str">
        <f>_xlfn.IFNA(IF(Facturas!Q78="Cuenta 34: Activo intangible",+VLOOKUP(Tabla4[[#This Row],[Llave ]],Facturas!A:D,3,FALSE),"Gasto"),"")</f>
        <v>Gasto</v>
      </c>
      <c r="E118" s="119">
        <f>IF(Facturas!Q78="Cuenta 34: Activo intangible",+VLOOKUP(Tabla4[[#This Row],[Llave ]],Facturas!A:P,16,FALSE),0)</f>
        <v>0</v>
      </c>
      <c r="F118" s="173" t="str">
        <f>IF(Facturas!Q78="Cuenta 34: Activo intangible",VLOOKUP(Tabla4[[#This Row],[Llave ]],Facturas!A:X,8,FALSE),"")</f>
        <v/>
      </c>
      <c r="G118" s="119">
        <f>IF(Facturas!Q78="Cuenta 34: Activo intangible",IF(OR(Facturas!T78="Cancelado",Facturas!T78="Pendiente"),+VLOOKUP(Tabla4[[#This Row],[Llave ]],Facturas!A:T,16),0),0)</f>
        <v>0</v>
      </c>
      <c r="H118" s="172" t="str">
        <f>IF(Facturas!Q78="Cuenta 34: Activo intangible",VLOOKUP(Tabla4[[#This Row],[Llave ]],Facturas!A:X,23,FALSE),"")</f>
        <v/>
      </c>
    </row>
    <row r="119" spans="1:8" x14ac:dyDescent="0.3">
      <c r="A119">
        <v>1077</v>
      </c>
      <c r="B119" s="171" t="str">
        <f>+_xlfn.IFNA(IF(Facturas!Q79="Cuenta 34: Activo intangible",VLOOKUP(Tabla4[[#This Row],[Llave ]],Facturas!A:V,2,FALSE),"No tiene código"),"")</f>
        <v>P202313</v>
      </c>
      <c r="C119">
        <f>_xlfn.IFNA(IF(Facturas!Q79="Cuenta 34: Activo intangible",+VLOOKUP(Tabla4[[#This Row],[Llave ]],Facturas!A:D,3,FALSE),"Gasto"),"")</f>
        <v>2023</v>
      </c>
      <c r="E119" s="119">
        <f>IF(Facturas!Q79="Cuenta 34: Activo intangible",+VLOOKUP(Tabla4[[#This Row],[Llave ]],Facturas!A:P,16,FALSE),0)</f>
        <v>5600</v>
      </c>
      <c r="F119" s="173">
        <f>IF(Facturas!Q79="Cuenta 34: Activo intangible",VLOOKUP(Tabla4[[#This Row],[Llave ]],Facturas!A:X,8,FALSE),"")</f>
        <v>45200</v>
      </c>
      <c r="G119" s="119">
        <f>IF(Facturas!Q79="Cuenta 34: Activo intangible",IF(OR(Facturas!T79="Cancelado",Facturas!T79="Pendiente"),+VLOOKUP(Tabla4[[#This Row],[Llave ]],Facturas!A:T,16),0),0)</f>
        <v>0</v>
      </c>
      <c r="H119" s="172">
        <f>IF(Facturas!Q79="Cuenta 34: Activo intangible",VLOOKUP(Tabla4[[#This Row],[Llave ]],Facturas!A:X,23,FALSE),"")</f>
        <v>45261</v>
      </c>
    </row>
    <row r="120" spans="1:8" x14ac:dyDescent="0.3">
      <c r="A120">
        <v>1078</v>
      </c>
      <c r="B120" s="171" t="str">
        <f>+_xlfn.IFNA(IF(Facturas!Q80="Cuenta 34: Activo intangible",VLOOKUP(Tabla4[[#This Row],[Llave ]],Facturas!A:V,2,FALSE),"No tiene código"),"")</f>
        <v>P202307</v>
      </c>
      <c r="C120">
        <f>_xlfn.IFNA(IF(Facturas!Q80="Cuenta 34: Activo intangible",+VLOOKUP(Tabla4[[#This Row],[Llave ]],Facturas!A:D,3,FALSE),"Gasto"),"")</f>
        <v>2023</v>
      </c>
      <c r="E120" s="119">
        <f>IF(Facturas!Q80="Cuenta 34: Activo intangible",+VLOOKUP(Tabla4[[#This Row],[Llave ]],Facturas!A:P,16,FALSE),0)</f>
        <v>3500</v>
      </c>
      <c r="F120" s="173">
        <f>IF(Facturas!Q80="Cuenta 34: Activo intangible",VLOOKUP(Tabla4[[#This Row],[Llave ]],Facturas!A:X,8,FALSE),"")</f>
        <v>45200</v>
      </c>
      <c r="G120" s="119">
        <f>IF(Facturas!Q80="Cuenta 34: Activo intangible",IF(OR(Facturas!T80="Cancelado",Facturas!T80="Pendiente"),+VLOOKUP(Tabla4[[#This Row],[Llave ]],Facturas!A:T,16),0),0)</f>
        <v>0</v>
      </c>
      <c r="H120" s="172">
        <f>IF(Facturas!Q80="Cuenta 34: Activo intangible",VLOOKUP(Tabla4[[#This Row],[Llave ]],Facturas!A:X,23,FALSE),"")</f>
        <v>45261</v>
      </c>
    </row>
    <row r="121" spans="1:8" x14ac:dyDescent="0.3">
      <c r="A121">
        <v>1079</v>
      </c>
      <c r="B121" s="171" t="str">
        <f>+_xlfn.IFNA(IF(Facturas!Q81="Cuenta 34: Activo intangible",VLOOKUP(Tabla4[[#This Row],[Llave ]],Facturas!A:V,2,FALSE),"No tiene código"),"")</f>
        <v>No tiene código</v>
      </c>
      <c r="C121" t="str">
        <f>_xlfn.IFNA(IF(Facturas!Q81="Cuenta 34: Activo intangible",+VLOOKUP(Tabla4[[#This Row],[Llave ]],Facturas!A:D,3,FALSE),"Gasto"),"")</f>
        <v>Gasto</v>
      </c>
      <c r="E121" s="119">
        <f>IF(Facturas!Q81="Cuenta 34: Activo intangible",+VLOOKUP(Tabla4[[#This Row],[Llave ]],Facturas!A:P,16,FALSE),0)</f>
        <v>0</v>
      </c>
      <c r="F121" s="173" t="str">
        <f>IF(Facturas!Q81="Cuenta 34: Activo intangible",VLOOKUP(Tabla4[[#This Row],[Llave ]],Facturas!A:X,8,FALSE),"")</f>
        <v/>
      </c>
      <c r="G121" s="119">
        <f>IF(Facturas!Q81="Cuenta 34: Activo intangible",IF(OR(Facturas!T81="Cancelado",Facturas!T81="Pendiente"),+VLOOKUP(Tabla4[[#This Row],[Llave ]],Facturas!A:T,16),0),0)</f>
        <v>0</v>
      </c>
      <c r="H121" s="172" t="str">
        <f>IF(Facturas!Q81="Cuenta 34: Activo intangible",VLOOKUP(Tabla4[[#This Row],[Llave ]],Facturas!A:X,23,FALSE),"")</f>
        <v/>
      </c>
    </row>
    <row r="122" spans="1:8" x14ac:dyDescent="0.3">
      <c r="A122">
        <v>1080</v>
      </c>
      <c r="B122" s="171" t="str">
        <f>+_xlfn.IFNA(IF(Facturas!Q82="Cuenta 34: Activo intangible",VLOOKUP(Tabla4[[#This Row],[Llave ]],Facturas!A:V,2,FALSE),"No tiene código"),"")</f>
        <v>P202305</v>
      </c>
      <c r="C122">
        <f>_xlfn.IFNA(IF(Facturas!Q82="Cuenta 34: Activo intangible",+VLOOKUP(Tabla4[[#This Row],[Llave ]],Facturas!A:D,3,FALSE),"Gasto"),"")</f>
        <v>2023</v>
      </c>
      <c r="E122" s="119">
        <f>IF(Facturas!Q82="Cuenta 34: Activo intangible",+VLOOKUP(Tabla4[[#This Row],[Llave ]],Facturas!A:P,16,FALSE),0)</f>
        <v>7150</v>
      </c>
      <c r="F122" s="173">
        <f>IF(Facturas!Q82="Cuenta 34: Activo intangible",VLOOKUP(Tabla4[[#This Row],[Llave ]],Facturas!A:X,8,FALSE),"")</f>
        <v>45200</v>
      </c>
      <c r="G122" s="119">
        <f>IF(Facturas!Q82="Cuenta 34: Activo intangible",IF(OR(Facturas!T82="Cancelado",Facturas!T82="Pendiente"),+VLOOKUP(Tabla4[[#This Row],[Llave ]],Facturas!A:T,16),0),0)</f>
        <v>0</v>
      </c>
      <c r="H122" s="172">
        <f>IF(Facturas!Q82="Cuenta 34: Activo intangible",VLOOKUP(Tabla4[[#This Row],[Llave ]],Facturas!A:X,23,FALSE),"")</f>
        <v>45292</v>
      </c>
    </row>
    <row r="123" spans="1:8" x14ac:dyDescent="0.3">
      <c r="A123">
        <v>1081</v>
      </c>
      <c r="B123" s="171" t="str">
        <f>+_xlfn.IFNA(IF(Facturas!Q83="Cuenta 34: Activo intangible",VLOOKUP(Tabla4[[#This Row],[Llave ]],Facturas!A:V,2,FALSE),"No tiene código"),"")</f>
        <v>P202307</v>
      </c>
      <c r="C123">
        <f>_xlfn.IFNA(IF(Facturas!Q83="Cuenta 34: Activo intangible",+VLOOKUP(Tabla4[[#This Row],[Llave ]],Facturas!A:D,3,FALSE),"Gasto"),"")</f>
        <v>2023</v>
      </c>
      <c r="E123" s="119">
        <f>IF(Facturas!Q83="Cuenta 34: Activo intangible",+VLOOKUP(Tabla4[[#This Row],[Llave ]],Facturas!A:P,16,FALSE),0)</f>
        <v>3500</v>
      </c>
      <c r="F123" s="173">
        <f>IF(Facturas!Q83="Cuenta 34: Activo intangible",VLOOKUP(Tabla4[[#This Row],[Llave ]],Facturas!A:X,8,FALSE),"")</f>
        <v>45200</v>
      </c>
      <c r="G123" s="119">
        <f>IF(Facturas!Q83="Cuenta 34: Activo intangible",IF(OR(Facturas!T83="Cancelado",Facturas!T83="Pendiente"),+VLOOKUP(Tabla4[[#This Row],[Llave ]],Facturas!A:T,16),0),0)</f>
        <v>0</v>
      </c>
      <c r="H123" s="172">
        <f>IF(Facturas!Q83="Cuenta 34: Activo intangible",VLOOKUP(Tabla4[[#This Row],[Llave ]],Facturas!A:X,23,FALSE),"")</f>
        <v>45292</v>
      </c>
    </row>
    <row r="124" spans="1:8" x14ac:dyDescent="0.3">
      <c r="A124">
        <v>1082</v>
      </c>
      <c r="B124" s="171" t="str">
        <f>+_xlfn.IFNA(IF(Facturas!Q108="Cuenta 34: Activo intangible",VLOOKUP(Tabla4[[#This Row],[Llave ]],Facturas!A:V,2,FALSE),"No tiene código"),"")</f>
        <v>No tiene código</v>
      </c>
      <c r="C124" t="str">
        <f>_xlfn.IFNA(IF(Facturas!Q108="Cuenta 34: Activo intangible",+VLOOKUP(Tabla4[[#This Row],[Llave ]],Facturas!A:D,3,FALSE),"Gasto"),"")</f>
        <v>Gasto</v>
      </c>
      <c r="E124" s="119">
        <f>IF(Facturas!Q108="Cuenta 34: Activo intangible",+VLOOKUP(Tabla4[[#This Row],[Llave ]],Facturas!A:P,16,FALSE),0)</f>
        <v>0</v>
      </c>
      <c r="F124" s="173" t="str">
        <f>IF(Facturas!Q108="Cuenta 34: Activo intangible",VLOOKUP(Tabla4[[#This Row],[Llave ]],Facturas!A:X,8,FALSE),"")</f>
        <v/>
      </c>
      <c r="G124" s="119">
        <f>IF(Facturas!Q108="Cuenta 34: Activo intangible",IF(OR(Facturas!T108="Cancelado",Facturas!T108="Pendiente"),+VLOOKUP(Tabla4[[#This Row],[Llave ]],Facturas!A:T,16),0),0)</f>
        <v>0</v>
      </c>
      <c r="H124" s="172" t="str">
        <f>IF(Facturas!Q108="Cuenta 34: Activo intangible",VLOOKUP(Tabla4[[#This Row],[Llave ]],Facturas!A:X,23,FALSE),"")</f>
        <v/>
      </c>
    </row>
    <row r="125" spans="1:8" x14ac:dyDescent="0.3">
      <c r="A125">
        <v>1083</v>
      </c>
      <c r="B125" s="171" t="str">
        <f>+_xlfn.IFNA(IF(Facturas!Q109="Cuenta 34: Activo intangible",VLOOKUP(Tabla4[[#This Row],[Llave ]],Facturas!A:V,2,FALSE),"No tiene código"),"")</f>
        <v>No tiene código</v>
      </c>
      <c r="C125" t="str">
        <f>+_xlfn.IFNA(VLOOKUP(Tabla4[[#This Row],[Llave ]],Proyectos!A132:AH247,28,FALSE),"")</f>
        <v/>
      </c>
      <c r="E125" s="119">
        <f>IF(Facturas!Q109="Cuenta 34: Activo intangible",+VLOOKUP(Tabla4[[#This Row],[Llave ]],Facturas!A:P,16,FALSE),0)</f>
        <v>0</v>
      </c>
      <c r="F125" s="173" t="str">
        <f>IF(Facturas!Q109="Cuenta 34: Activo intangible",VLOOKUP(Tabla4[[#This Row],[Llave ]],Facturas!A:X,8,FALSE),"")</f>
        <v/>
      </c>
      <c r="G125" s="119">
        <f>IF(Facturas!Q109="Cuenta 34: Activo intangible",IF(OR(Facturas!T109="Cancelado",Facturas!T109="Pendiente"),+VLOOKUP(Tabla4[[#This Row],[Llave ]],Facturas!A:T,16),0),0)</f>
        <v>0</v>
      </c>
      <c r="H125" s="172" t="str">
        <f>IF(Facturas!Q109="Cuenta 34: Activo intangible",VLOOKUP(Tabla4[[#This Row],[Llave ]],Facturas!A:X,23,FALSE),"")</f>
        <v/>
      </c>
    </row>
    <row r="126" spans="1:8" x14ac:dyDescent="0.3">
      <c r="B126" s="29"/>
      <c r="D126" s="119">
        <f>+SUBTOTAL(9,D2:D125)</f>
        <v>256000</v>
      </c>
      <c r="E126" s="119">
        <f>+SUBTOTAL(9,E2:E125)</f>
        <v>211290</v>
      </c>
      <c r="F126" s="119"/>
      <c r="G126" s="119">
        <f>+SUBTOTAL(9,G2:G125)</f>
        <v>175275</v>
      </c>
    </row>
  </sheetData>
  <phoneticPr fontId="8" type="noConversion"/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0515-A782-443F-B25D-D8AE2C9C0031}">
  <sheetPr>
    <tabColor theme="5"/>
  </sheetPr>
  <dimension ref="B1:M14"/>
  <sheetViews>
    <sheetView zoomScale="60" zoomScaleNormal="60" workbookViewId="0">
      <selection activeCell="Q7" sqref="Q7"/>
    </sheetView>
  </sheetViews>
  <sheetFormatPr baseColWidth="10" defaultRowHeight="14.4" x14ac:dyDescent="0.3"/>
  <cols>
    <col min="2" max="2" width="17.21875" bestFit="1" customWidth="1"/>
    <col min="3" max="3" width="18.6640625" style="119" bestFit="1" customWidth="1"/>
    <col min="4" max="4" width="18.109375" bestFit="1" customWidth="1"/>
    <col min="5" max="5" width="12.77734375" bestFit="1" customWidth="1"/>
    <col min="6" max="6" width="24.21875" bestFit="1" customWidth="1"/>
    <col min="7" max="7" width="19.88671875" bestFit="1" customWidth="1"/>
    <col min="8" max="8" width="27" bestFit="1" customWidth="1"/>
    <col min="9" max="9" width="19.6640625" bestFit="1" customWidth="1"/>
    <col min="10" max="10" width="12.77734375" bestFit="1" customWidth="1"/>
    <col min="11" max="11" width="24.21875" bestFit="1" customWidth="1"/>
    <col min="12" max="12" width="19.5546875" bestFit="1" customWidth="1"/>
    <col min="13" max="13" width="26.5546875" bestFit="1" customWidth="1"/>
    <col min="16" max="16" width="17.21875" bestFit="1" customWidth="1"/>
    <col min="17" max="17" width="17.33203125" bestFit="1" customWidth="1"/>
    <col min="18" max="18" width="19.6640625" bestFit="1" customWidth="1"/>
    <col min="20" max="20" width="18.6640625" bestFit="1" customWidth="1"/>
  </cols>
  <sheetData>
    <row r="1" spans="2:13" ht="21" customHeight="1" x14ac:dyDescent="0.3">
      <c r="F1" s="99" t="s">
        <v>536</v>
      </c>
      <c r="G1" t="s">
        <v>733</v>
      </c>
      <c r="H1" t="s">
        <v>732</v>
      </c>
      <c r="I1" s="190" t="s">
        <v>549</v>
      </c>
      <c r="K1" s="184" t="s">
        <v>536</v>
      </c>
      <c r="L1" t="s">
        <v>734</v>
      </c>
      <c r="M1" t="s">
        <v>735</v>
      </c>
    </row>
    <row r="2" spans="2:13" ht="21" customHeight="1" x14ac:dyDescent="0.3">
      <c r="C2" s="132" t="s">
        <v>320</v>
      </c>
      <c r="D2" s="132" t="s">
        <v>553</v>
      </c>
      <c r="F2" s="100">
        <v>2023</v>
      </c>
      <c r="G2" s="119">
        <v>80225</v>
      </c>
      <c r="H2" s="119"/>
      <c r="I2" s="190"/>
      <c r="K2" s="100">
        <v>2023</v>
      </c>
      <c r="L2" s="119">
        <v>133515</v>
      </c>
      <c r="M2" s="119"/>
    </row>
    <row r="3" spans="2:13" ht="21" customHeight="1" x14ac:dyDescent="0.3">
      <c r="B3" s="131" t="s">
        <v>565</v>
      </c>
      <c r="C3" s="133">
        <v>256000</v>
      </c>
      <c r="D3" s="30">
        <v>20</v>
      </c>
      <c r="F3" s="183" t="s">
        <v>690</v>
      </c>
      <c r="G3" s="119">
        <v>1780</v>
      </c>
      <c r="H3" s="119">
        <v>1780</v>
      </c>
      <c r="I3" s="75">
        <f>+H3/$C$3</f>
        <v>6.9531250000000001E-3</v>
      </c>
      <c r="K3" s="183" t="s">
        <v>690</v>
      </c>
      <c r="L3" s="119">
        <v>1780</v>
      </c>
      <c r="M3" s="119">
        <v>1780</v>
      </c>
    </row>
    <row r="4" spans="2:13" ht="21" customHeight="1" x14ac:dyDescent="0.3">
      <c r="B4" s="131" t="s">
        <v>566</v>
      </c>
      <c r="C4" s="133">
        <f t="shared" ref="C4:C14" si="0">C3</f>
        <v>256000</v>
      </c>
      <c r="D4" s="30">
        <f t="shared" ref="D4:D14" si="1">D3</f>
        <v>20</v>
      </c>
      <c r="F4" s="183" t="s">
        <v>691</v>
      </c>
      <c r="G4" s="119">
        <v>1200</v>
      </c>
      <c r="H4" s="119">
        <v>2980</v>
      </c>
      <c r="I4" s="75">
        <f t="shared" ref="I4:I11" si="2">+H4/$C$3</f>
        <v>1.1640625E-2</v>
      </c>
      <c r="K4" s="183" t="s">
        <v>691</v>
      </c>
      <c r="L4" s="119">
        <v>1200</v>
      </c>
      <c r="M4" s="119">
        <v>2980</v>
      </c>
    </row>
    <row r="5" spans="2:13" ht="21" customHeight="1" x14ac:dyDescent="0.3">
      <c r="B5" s="131" t="s">
        <v>567</v>
      </c>
      <c r="C5" s="133">
        <f t="shared" si="0"/>
        <v>256000</v>
      </c>
      <c r="D5" s="30">
        <f t="shared" si="1"/>
        <v>20</v>
      </c>
      <c r="F5" s="183" t="s">
        <v>693</v>
      </c>
      <c r="G5" s="119">
        <v>11700</v>
      </c>
      <c r="H5" s="119">
        <v>14680</v>
      </c>
      <c r="I5" s="75">
        <f t="shared" si="2"/>
        <v>5.7343749999999999E-2</v>
      </c>
      <c r="K5" s="183" t="s">
        <v>692</v>
      </c>
      <c r="L5" s="119">
        <v>51580</v>
      </c>
      <c r="M5" s="119">
        <v>54560</v>
      </c>
    </row>
    <row r="6" spans="2:13" ht="21" customHeight="1" x14ac:dyDescent="0.3">
      <c r="B6" s="131" t="s">
        <v>568</v>
      </c>
      <c r="C6" s="133">
        <f t="shared" si="0"/>
        <v>256000</v>
      </c>
      <c r="D6" s="30">
        <f t="shared" si="1"/>
        <v>20</v>
      </c>
      <c r="F6" s="183" t="s">
        <v>694</v>
      </c>
      <c r="G6" s="119">
        <v>6405</v>
      </c>
      <c r="H6" s="119">
        <v>21085</v>
      </c>
      <c r="I6" s="75">
        <f t="shared" si="2"/>
        <v>8.2363281250000003E-2</v>
      </c>
      <c r="K6" s="183" t="s">
        <v>693</v>
      </c>
      <c r="L6" s="119">
        <v>925</v>
      </c>
      <c r="M6" s="119">
        <v>55485</v>
      </c>
    </row>
    <row r="7" spans="2:13" ht="21" customHeight="1" x14ac:dyDescent="0.3">
      <c r="B7" s="131" t="s">
        <v>569</v>
      </c>
      <c r="C7" s="133">
        <f t="shared" si="0"/>
        <v>256000</v>
      </c>
      <c r="D7" s="30">
        <f t="shared" si="1"/>
        <v>20</v>
      </c>
      <c r="F7" s="183" t="s">
        <v>698</v>
      </c>
      <c r="G7" s="119">
        <v>10990</v>
      </c>
      <c r="H7" s="119">
        <v>32075</v>
      </c>
      <c r="I7" s="75">
        <f t="shared" si="2"/>
        <v>0.12529296875000001</v>
      </c>
      <c r="K7" s="183" t="s">
        <v>694</v>
      </c>
      <c r="L7" s="119">
        <v>8000</v>
      </c>
      <c r="M7" s="119">
        <v>63485</v>
      </c>
    </row>
    <row r="8" spans="2:13" ht="21" customHeight="1" x14ac:dyDescent="0.3">
      <c r="B8" s="131" t="s">
        <v>570</v>
      </c>
      <c r="C8" s="133">
        <f t="shared" si="0"/>
        <v>256000</v>
      </c>
      <c r="D8" s="30">
        <f t="shared" si="1"/>
        <v>20</v>
      </c>
      <c r="F8" s="183" t="s">
        <v>699</v>
      </c>
      <c r="G8" s="119">
        <v>9745</v>
      </c>
      <c r="H8" s="119">
        <v>41820</v>
      </c>
      <c r="I8" s="75">
        <f t="shared" si="2"/>
        <v>0.163359375</v>
      </c>
      <c r="K8" s="183" t="s">
        <v>695</v>
      </c>
      <c r="L8" s="119">
        <v>23680</v>
      </c>
      <c r="M8" s="119">
        <v>87165</v>
      </c>
    </row>
    <row r="9" spans="2:13" ht="21" customHeight="1" x14ac:dyDescent="0.3">
      <c r="B9" s="131" t="s">
        <v>571</v>
      </c>
      <c r="C9" s="133">
        <f t="shared" si="0"/>
        <v>256000</v>
      </c>
      <c r="D9" s="30">
        <f t="shared" si="1"/>
        <v>20</v>
      </c>
      <c r="F9" s="183" t="s">
        <v>695</v>
      </c>
      <c r="G9" s="119">
        <v>5460</v>
      </c>
      <c r="H9" s="119">
        <v>47280</v>
      </c>
      <c r="I9" s="75">
        <f t="shared" si="2"/>
        <v>0.1846875</v>
      </c>
      <c r="K9" s="183" t="s">
        <v>696</v>
      </c>
      <c r="L9" s="119">
        <v>10850</v>
      </c>
      <c r="M9" s="119">
        <v>98015</v>
      </c>
    </row>
    <row r="10" spans="2:13" ht="21" customHeight="1" x14ac:dyDescent="0.3">
      <c r="B10" s="131" t="s">
        <v>572</v>
      </c>
      <c r="C10" s="133">
        <f t="shared" si="0"/>
        <v>256000</v>
      </c>
      <c r="D10" s="30">
        <f t="shared" si="1"/>
        <v>20</v>
      </c>
      <c r="F10" s="183" t="s">
        <v>696</v>
      </c>
      <c r="G10" s="119">
        <v>17710</v>
      </c>
      <c r="H10" s="119">
        <v>64990</v>
      </c>
      <c r="I10" s="75">
        <f t="shared" si="2"/>
        <v>0.25386718749999998</v>
      </c>
      <c r="K10" s="183" t="s">
        <v>697</v>
      </c>
      <c r="L10" s="119">
        <v>35500</v>
      </c>
      <c r="M10" s="119">
        <v>133515</v>
      </c>
    </row>
    <row r="11" spans="2:13" ht="21" customHeight="1" x14ac:dyDescent="0.3">
      <c r="B11" s="131" t="s">
        <v>573</v>
      </c>
      <c r="C11" s="133">
        <f t="shared" si="0"/>
        <v>256000</v>
      </c>
      <c r="D11" s="30">
        <f t="shared" si="1"/>
        <v>20</v>
      </c>
      <c r="F11" s="183" t="s">
        <v>697</v>
      </c>
      <c r="G11" s="119">
        <v>15235</v>
      </c>
      <c r="H11" s="119">
        <v>80225</v>
      </c>
      <c r="I11" s="75">
        <f t="shared" si="2"/>
        <v>0.31337890624999998</v>
      </c>
      <c r="K11" s="183" t="s">
        <v>689</v>
      </c>
      <c r="L11" s="119"/>
      <c r="M11" s="119">
        <v>133515</v>
      </c>
    </row>
    <row r="12" spans="2:13" ht="21" customHeight="1" x14ac:dyDescent="0.3">
      <c r="B12" s="131" t="s">
        <v>574</v>
      </c>
      <c r="C12" s="133">
        <f t="shared" si="0"/>
        <v>256000</v>
      </c>
      <c r="D12" s="30">
        <f t="shared" si="1"/>
        <v>20</v>
      </c>
      <c r="F12" s="183" t="s">
        <v>689</v>
      </c>
      <c r="G12" s="119"/>
      <c r="H12" s="119">
        <v>80225</v>
      </c>
      <c r="I12" s="75"/>
      <c r="K12" s="100" t="s">
        <v>537</v>
      </c>
      <c r="L12" s="119">
        <v>133515</v>
      </c>
      <c r="M12" s="119"/>
    </row>
    <row r="13" spans="2:13" ht="21" customHeight="1" x14ac:dyDescent="0.3">
      <c r="B13" s="131" t="s">
        <v>575</v>
      </c>
      <c r="C13" s="133">
        <f t="shared" si="0"/>
        <v>256000</v>
      </c>
      <c r="D13" s="30">
        <f t="shared" si="1"/>
        <v>20</v>
      </c>
      <c r="F13" s="100" t="s">
        <v>537</v>
      </c>
      <c r="G13" s="119">
        <v>80225</v>
      </c>
      <c r="H13" s="119"/>
    </row>
    <row r="14" spans="2:13" ht="21" customHeight="1" x14ac:dyDescent="0.3">
      <c r="B14" s="131" t="s">
        <v>576</v>
      </c>
      <c r="C14" s="133">
        <f t="shared" si="0"/>
        <v>256000</v>
      </c>
      <c r="D14" s="30">
        <f t="shared" si="1"/>
        <v>20</v>
      </c>
    </row>
  </sheetData>
  <mergeCells count="1">
    <mergeCell ref="I1:I2"/>
  </mergeCells>
  <phoneticPr fontId="8" type="noConversion"/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C44D-0BAA-4092-B876-5A53D34C8E74}">
  <sheetPr>
    <tabColor rgb="FF7030A0"/>
  </sheetPr>
  <dimension ref="B1:W33"/>
  <sheetViews>
    <sheetView showGridLines="0" topLeftCell="J1" zoomScale="65" zoomScaleNormal="65" workbookViewId="0">
      <selection sqref="A1:XFD15"/>
    </sheetView>
  </sheetViews>
  <sheetFormatPr baseColWidth="10" defaultRowHeight="14.4" x14ac:dyDescent="0.3"/>
  <cols>
    <col min="2" max="2" width="14.109375" style="15" customWidth="1"/>
    <col min="3" max="3" width="6.33203125" style="15" customWidth="1"/>
    <col min="4" max="4" width="13.5546875" style="15" customWidth="1"/>
    <col min="5" max="5" width="27.44140625" style="15" bestFit="1" customWidth="1"/>
    <col min="6" max="6" width="12.44140625" style="15" bestFit="1" customWidth="1"/>
    <col min="7" max="7" width="28.6640625" style="15" bestFit="1" customWidth="1"/>
    <col min="8" max="8" width="17.33203125" style="15" bestFit="1" customWidth="1"/>
    <col min="9" max="9" width="7.6640625" style="15" customWidth="1"/>
    <col min="10" max="10" width="57.33203125" style="28" bestFit="1" customWidth="1"/>
    <col min="11" max="11" width="28.33203125" style="28" bestFit="1" customWidth="1"/>
    <col min="12" max="12" width="7.44140625" style="28" bestFit="1" customWidth="1"/>
    <col min="13" max="13" width="10.5546875" style="15" customWidth="1"/>
    <col min="14" max="14" width="17.44140625" style="15" customWidth="1"/>
    <col min="15" max="15" width="17.6640625" style="15" bestFit="1" customWidth="1"/>
    <col min="16" max="16" width="13.44140625" style="30" customWidth="1"/>
    <col min="17" max="17" width="15.109375" style="29" bestFit="1" customWidth="1"/>
    <col min="18" max="18" width="11.44140625" style="29"/>
    <col min="20" max="20" width="30" bestFit="1" customWidth="1"/>
    <col min="21" max="21" width="16.33203125" bestFit="1" customWidth="1"/>
    <col min="22" max="22" width="18.6640625" bestFit="1" customWidth="1"/>
  </cols>
  <sheetData>
    <row r="1" spans="2:23" ht="24" x14ac:dyDescent="0.3">
      <c r="B1" s="135" t="s">
        <v>616</v>
      </c>
      <c r="C1" s="135" t="s">
        <v>609</v>
      </c>
      <c r="D1" s="135" t="s">
        <v>610</v>
      </c>
      <c r="E1" s="135" t="s">
        <v>611</v>
      </c>
      <c r="F1" s="135" t="s">
        <v>589</v>
      </c>
      <c r="G1" s="135" t="s">
        <v>377</v>
      </c>
      <c r="H1" s="135" t="s">
        <v>617</v>
      </c>
      <c r="I1" s="135" t="s">
        <v>612</v>
      </c>
      <c r="J1" s="135" t="s">
        <v>62</v>
      </c>
      <c r="K1" s="135" t="s">
        <v>253</v>
      </c>
      <c r="L1" s="135" t="s">
        <v>63</v>
      </c>
      <c r="M1" s="135" t="s">
        <v>605</v>
      </c>
      <c r="N1" s="135" t="s">
        <v>613</v>
      </c>
      <c r="O1" s="135" t="s">
        <v>614</v>
      </c>
      <c r="P1" s="135" t="s">
        <v>615</v>
      </c>
      <c r="Q1" s="29" t="s">
        <v>50</v>
      </c>
      <c r="R1" s="142" t="s">
        <v>635</v>
      </c>
    </row>
    <row r="2" spans="2:23" x14ac:dyDescent="0.3">
      <c r="B2" s="15" t="s">
        <v>378</v>
      </c>
      <c r="C2" s="15" t="s">
        <v>598</v>
      </c>
      <c r="D2" s="15" t="s">
        <v>243</v>
      </c>
      <c r="E2" s="15" t="str">
        <f>+Facturas!Q68</f>
        <v>Cuenta 34: Activo intangible</v>
      </c>
      <c r="F2" s="15">
        <f>+VLOOKUP(G2,$T$14:$W$16,2,FALSE)</f>
        <v>20547121628</v>
      </c>
      <c r="G2" s="15" t="s">
        <v>599</v>
      </c>
      <c r="H2" s="15" t="str">
        <f>+VLOOKUP(G2,$T$14:$W$16,3,FALSE)</f>
        <v>194-2097981-0-25</v>
      </c>
      <c r="I2" s="15" t="str">
        <f t="shared" ref="I2:I12" si="0">+VLOOKUP(G2,$T$14:$W$16,4)</f>
        <v>BCP</v>
      </c>
      <c r="J2" s="141" t="str">
        <f>+CONCATENATE(Facturas!J67," (",Facturas!S67, ")")</f>
        <v>Modificación del módulo de contratos (GDH)</v>
      </c>
      <c r="K2" s="139" t="str">
        <f>+Facturas!L67</f>
        <v>Cuota 2/2 - 50%</v>
      </c>
      <c r="L2" s="28" t="s">
        <v>621</v>
      </c>
      <c r="M2" s="15">
        <v>1</v>
      </c>
      <c r="N2" s="140">
        <f>+Facturas!M67</f>
        <v>4640</v>
      </c>
      <c r="O2" s="15">
        <f t="shared" ref="O2:O16" si="1">M2*N2</f>
        <v>4640</v>
      </c>
      <c r="P2" s="30" t="s">
        <v>618</v>
      </c>
      <c r="Q2" s="29" t="s">
        <v>640</v>
      </c>
      <c r="R2" s="92">
        <v>45177</v>
      </c>
    </row>
    <row r="3" spans="2:23" x14ac:dyDescent="0.3">
      <c r="B3" s="15" t="s">
        <v>378</v>
      </c>
      <c r="C3" s="15" t="s">
        <v>598</v>
      </c>
      <c r="D3" s="15" t="s">
        <v>243</v>
      </c>
      <c r="E3" s="15" t="str">
        <f>+Facturas!Q69</f>
        <v>Cuenta 34: Activo intangible</v>
      </c>
      <c r="F3" s="15">
        <f t="shared" ref="F3:F12" si="2">+VLOOKUP(G3,$T$14:$W$16,2,FALSE)</f>
        <v>20547121628</v>
      </c>
      <c r="G3" s="15" t="s">
        <v>599</v>
      </c>
      <c r="H3" s="15" t="str">
        <f t="shared" ref="H3:H12" si="3">+VLOOKUP(G3,$T$14:$W$16,3,FALSE)</f>
        <v>194-2097981-0-25</v>
      </c>
      <c r="I3" s="15" t="str">
        <f t="shared" si="0"/>
        <v>BCP</v>
      </c>
      <c r="J3" s="141" t="str">
        <f>+CONCATENATE(Facturas!J68," (",Facturas!S68, ")")</f>
        <v>Portal del cliente (SAC&amp;Parque)</v>
      </c>
      <c r="K3" s="139" t="str">
        <f>+Facturas!L68</f>
        <v>Cuota 2/3 -35%</v>
      </c>
      <c r="L3" s="28" t="s">
        <v>621</v>
      </c>
      <c r="M3" s="15">
        <v>1</v>
      </c>
      <c r="N3" s="140">
        <f>+Facturas!M68</f>
        <v>4795</v>
      </c>
      <c r="O3" s="15">
        <f t="shared" si="1"/>
        <v>4795</v>
      </c>
      <c r="P3" s="30" t="s">
        <v>618</v>
      </c>
      <c r="Q3" s="29" t="s">
        <v>640</v>
      </c>
      <c r="R3" s="92">
        <v>45177</v>
      </c>
    </row>
    <row r="4" spans="2:23" x14ac:dyDescent="0.3">
      <c r="B4" s="15" t="s">
        <v>378</v>
      </c>
      <c r="C4" s="15" t="s">
        <v>598</v>
      </c>
      <c r="D4" s="15" t="s">
        <v>243</v>
      </c>
      <c r="E4" s="15" t="str">
        <f>+Facturas!Q70</f>
        <v>Cuenta 34: Activo intangible</v>
      </c>
      <c r="F4" s="15">
        <f t="shared" si="2"/>
        <v>20547121628</v>
      </c>
      <c r="G4" s="15" t="s">
        <v>599</v>
      </c>
      <c r="H4" s="15" t="str">
        <f t="shared" si="3"/>
        <v>194-2097981-0-25</v>
      </c>
      <c r="I4" s="15" t="str">
        <f t="shared" si="0"/>
        <v>BCP</v>
      </c>
      <c r="J4" s="141" t="str">
        <f>+CONCATENATE(Facturas!J69," (",Facturas!S69, ")")</f>
        <v>Nueva forma de pago - SG5 (Comercial)</v>
      </c>
      <c r="K4" s="139" t="str">
        <f>+Facturas!L69</f>
        <v>Cuota 1/2 - 50% (Oct)</v>
      </c>
      <c r="L4" s="28" t="s">
        <v>621</v>
      </c>
      <c r="M4" s="15">
        <v>1</v>
      </c>
      <c r="N4" s="140">
        <f>+Facturas!M69</f>
        <v>4840</v>
      </c>
      <c r="O4" s="15">
        <f t="shared" si="1"/>
        <v>4840</v>
      </c>
      <c r="P4" s="30" t="s">
        <v>618</v>
      </c>
      <c r="Q4" s="29" t="s">
        <v>640</v>
      </c>
      <c r="R4" s="92">
        <v>45177</v>
      </c>
    </row>
    <row r="5" spans="2:23" x14ac:dyDescent="0.3">
      <c r="B5" s="15" t="s">
        <v>378</v>
      </c>
      <c r="C5" s="15" t="s">
        <v>598</v>
      </c>
      <c r="D5" s="15" t="s">
        <v>243</v>
      </c>
      <c r="E5" s="15" t="str">
        <f>+Facturas!Q71</f>
        <v>Cuenta 34: Activo intangible</v>
      </c>
      <c r="F5" s="15">
        <f t="shared" si="2"/>
        <v>20547121628</v>
      </c>
      <c r="G5" s="15" t="s">
        <v>599</v>
      </c>
      <c r="H5" s="15" t="str">
        <f t="shared" si="3"/>
        <v>194-2097981-0-25</v>
      </c>
      <c r="I5" s="15" t="str">
        <f t="shared" si="0"/>
        <v>BCP</v>
      </c>
      <c r="J5" s="141" t="str">
        <f>+CONCATENATE(Facturas!J70," (",Facturas!S70, ")")</f>
        <v>Nueva forma de pago - CRM (Comercial)</v>
      </c>
      <c r="K5" s="139" t="str">
        <f>+Facturas!L70</f>
        <v>Cuota única (fin de proyecto)</v>
      </c>
      <c r="L5" s="28" t="s">
        <v>621</v>
      </c>
      <c r="M5" s="15">
        <v>1</v>
      </c>
      <c r="N5" s="140">
        <f>+Facturas!M70</f>
        <v>1170</v>
      </c>
      <c r="O5" s="15">
        <f t="shared" si="1"/>
        <v>1170</v>
      </c>
      <c r="P5" s="30" t="s">
        <v>618</v>
      </c>
      <c r="Q5" s="29" t="s">
        <v>640</v>
      </c>
      <c r="R5" s="92">
        <v>45177</v>
      </c>
    </row>
    <row r="6" spans="2:23" x14ac:dyDescent="0.3">
      <c r="B6" s="15" t="s">
        <v>378</v>
      </c>
      <c r="C6" s="15" t="s">
        <v>598</v>
      </c>
      <c r="D6" s="15" t="s">
        <v>243</v>
      </c>
      <c r="E6" s="15" t="str">
        <f>+Facturas!Q72</f>
        <v>Gasto</v>
      </c>
      <c r="F6" s="15">
        <f t="shared" si="2"/>
        <v>20547121628</v>
      </c>
      <c r="G6" s="15" t="s">
        <v>599</v>
      </c>
      <c r="H6" s="15" t="str">
        <f t="shared" si="3"/>
        <v>194-2097981-0-25</v>
      </c>
      <c r="I6" s="15" t="str">
        <f t="shared" si="0"/>
        <v>BCP</v>
      </c>
      <c r="J6" s="141" t="str">
        <f>+CONCATENATE(Facturas!J71," (",Facturas!S71, ")")</f>
        <v>Modificación en la distribución de espacios (Operaciones)</v>
      </c>
      <c r="K6" s="139" t="str">
        <f>+Facturas!L71</f>
        <v xml:space="preserve">Cuota 1/2 - 50% </v>
      </c>
      <c r="L6" s="28" t="s">
        <v>621</v>
      </c>
      <c r="M6" s="15">
        <v>1</v>
      </c>
      <c r="N6" s="140">
        <f>+Facturas!M71</f>
        <v>5600</v>
      </c>
      <c r="O6" s="15">
        <f t="shared" si="1"/>
        <v>5600</v>
      </c>
      <c r="P6" s="30" t="s">
        <v>618</v>
      </c>
      <c r="Q6" s="29" t="s">
        <v>640</v>
      </c>
      <c r="R6" s="92">
        <v>45177</v>
      </c>
    </row>
    <row r="7" spans="2:23" ht="28.8" x14ac:dyDescent="0.3">
      <c r="B7" s="15" t="s">
        <v>378</v>
      </c>
      <c r="C7" s="15" t="s">
        <v>598</v>
      </c>
      <c r="D7" s="15" t="s">
        <v>243</v>
      </c>
      <c r="E7" s="15" t="str">
        <f>+Facturas!Q73</f>
        <v>Gasto</v>
      </c>
      <c r="F7" s="15">
        <f t="shared" si="2"/>
        <v>20539909755</v>
      </c>
      <c r="G7" s="15" t="s">
        <v>606</v>
      </c>
      <c r="H7" s="15" t="str">
        <f t="shared" si="3"/>
        <v>570-2362319-0-81</v>
      </c>
      <c r="I7" s="15" t="str">
        <f t="shared" si="0"/>
        <v>BCP</v>
      </c>
      <c r="J7" s="141" t="str">
        <f>+CONCATENATE(Facturas!J72," (",Facturas!S72, ")")</f>
        <v>MANTENIMIENTO ERP EXACTUS. PERIODO DEL
20/10/23 AL 20/10/24 (Operaciones)</v>
      </c>
      <c r="K7" s="139" t="str">
        <f>+Facturas!L72</f>
        <v>Cuota única</v>
      </c>
      <c r="L7" s="28" t="s">
        <v>621</v>
      </c>
      <c r="M7" s="15">
        <v>1</v>
      </c>
      <c r="N7" s="140">
        <f>+Facturas!M72</f>
        <v>7600</v>
      </c>
      <c r="O7" s="15">
        <f t="shared" si="1"/>
        <v>7600</v>
      </c>
      <c r="P7" s="30" t="s">
        <v>608</v>
      </c>
      <c r="Q7" s="29" t="s">
        <v>640</v>
      </c>
      <c r="R7" s="92">
        <v>45177</v>
      </c>
    </row>
    <row r="8" spans="2:23" x14ac:dyDescent="0.3">
      <c r="B8" s="15" t="s">
        <v>378</v>
      </c>
      <c r="C8" s="15" t="s">
        <v>598</v>
      </c>
      <c r="D8" s="152" t="s">
        <v>243</v>
      </c>
      <c r="E8" s="152" t="str">
        <f>+Facturas!Q74</f>
        <v>Cuenta 34: Activo intangible</v>
      </c>
      <c r="F8" s="152">
        <f t="shared" si="2"/>
        <v>20547121628</v>
      </c>
      <c r="G8" s="152" t="s">
        <v>599</v>
      </c>
      <c r="H8" s="152" t="str">
        <f t="shared" si="3"/>
        <v>194-2097981-0-25</v>
      </c>
      <c r="I8" s="152" t="str">
        <f t="shared" si="0"/>
        <v>BCP</v>
      </c>
      <c r="J8" s="153" t="str">
        <f>+CONCATENATE(Facturas!J73," (",Facturas!S73, ")")</f>
        <v>Mantenimiento SG5 // Feb 23 - Ene 24 (Operaciones)</v>
      </c>
      <c r="K8" s="139" t="str">
        <f>+Facturas!L73</f>
        <v>Cuota 10/12 (Nov)</v>
      </c>
      <c r="L8" s="154" t="s">
        <v>621</v>
      </c>
      <c r="M8" s="152">
        <v>1</v>
      </c>
      <c r="N8" s="155">
        <f>+Facturas!M73</f>
        <v>5100</v>
      </c>
      <c r="O8" s="152">
        <f t="shared" si="1"/>
        <v>5100</v>
      </c>
      <c r="P8" s="156" t="s">
        <v>618</v>
      </c>
      <c r="Q8" s="29" t="s">
        <v>463</v>
      </c>
      <c r="R8" s="92">
        <v>45195</v>
      </c>
    </row>
    <row r="9" spans="2:23" x14ac:dyDescent="0.3">
      <c r="B9" s="15" t="s">
        <v>378</v>
      </c>
      <c r="C9" s="15" t="s">
        <v>598</v>
      </c>
      <c r="D9" s="152" t="s">
        <v>243</v>
      </c>
      <c r="E9" s="152" t="str">
        <f>+Facturas!Q75</f>
        <v>Cuenta 34: Activo intangible</v>
      </c>
      <c r="F9" s="152">
        <f t="shared" si="2"/>
        <v>20547121628</v>
      </c>
      <c r="G9" s="152" t="s">
        <v>599</v>
      </c>
      <c r="H9" s="152" t="str">
        <f t="shared" si="3"/>
        <v>194-2097981-0-25</v>
      </c>
      <c r="I9" s="152" t="str">
        <f t="shared" si="0"/>
        <v>BCP</v>
      </c>
      <c r="J9" s="153" t="str">
        <f>+CONCATENATE(Facturas!J74," (",Facturas!S74, ")")</f>
        <v>Portal del cliente (SAC&amp;Parque)</v>
      </c>
      <c r="K9" s="139" t="str">
        <f>+Facturas!L74</f>
        <v>Cuota 3/3- 35%</v>
      </c>
      <c r="L9" s="154" t="s">
        <v>621</v>
      </c>
      <c r="M9" s="152">
        <v>1</v>
      </c>
      <c r="N9" s="155">
        <f>+Facturas!M74</f>
        <v>4795</v>
      </c>
      <c r="O9" s="152">
        <f t="shared" si="1"/>
        <v>4795</v>
      </c>
      <c r="P9" s="156" t="s">
        <v>618</v>
      </c>
      <c r="Q9" s="29" t="s">
        <v>463</v>
      </c>
      <c r="R9" s="92">
        <v>45195</v>
      </c>
    </row>
    <row r="10" spans="2:23" x14ac:dyDescent="0.3">
      <c r="B10" s="15" t="s">
        <v>378</v>
      </c>
      <c r="C10" s="15" t="s">
        <v>598</v>
      </c>
      <c r="D10" s="152" t="s">
        <v>243</v>
      </c>
      <c r="E10" s="152" t="str">
        <f>+Facturas!Q76</f>
        <v>Cuenta 34: Activo intangible</v>
      </c>
      <c r="F10" s="152">
        <f t="shared" si="2"/>
        <v>20524719585</v>
      </c>
      <c r="G10" s="152" t="s">
        <v>657</v>
      </c>
      <c r="H10" s="152" t="str">
        <f t="shared" si="3"/>
        <v>194-20176075-0-72</v>
      </c>
      <c r="I10" s="152" t="str">
        <f t="shared" si="0"/>
        <v>BCP</v>
      </c>
      <c r="J10" s="153" t="str">
        <f>+CONCATENATE(Facturas!J75," (",Facturas!S75, ")")</f>
        <v>Nueva forma de pago - SG5 (Comercial)</v>
      </c>
      <c r="K10" s="139" t="str">
        <f>+Facturas!L75</f>
        <v>Cuota 2/2 - 50% (Nov)</v>
      </c>
      <c r="L10" s="154" t="s">
        <v>621</v>
      </c>
      <c r="M10" s="152">
        <v>1</v>
      </c>
      <c r="N10" s="155">
        <f>+Facturas!M75</f>
        <v>4840</v>
      </c>
      <c r="O10" s="152">
        <f t="shared" si="1"/>
        <v>4840</v>
      </c>
      <c r="P10" s="156" t="s">
        <v>618</v>
      </c>
      <c r="Q10" s="29" t="s">
        <v>463</v>
      </c>
      <c r="R10" s="92">
        <v>45195</v>
      </c>
    </row>
    <row r="11" spans="2:23" x14ac:dyDescent="0.3">
      <c r="B11" s="15" t="s">
        <v>378</v>
      </c>
      <c r="C11" s="15" t="s">
        <v>598</v>
      </c>
      <c r="D11" s="15" t="s">
        <v>243</v>
      </c>
      <c r="E11" s="152" t="str">
        <f>+Facturas!J76</f>
        <v>Implementación de las NIIF</v>
      </c>
      <c r="F11" s="15">
        <f t="shared" si="2"/>
        <v>20547121628</v>
      </c>
      <c r="G11" s="15" t="s">
        <v>599</v>
      </c>
      <c r="H11" s="15" t="str">
        <f t="shared" si="3"/>
        <v>194-2097981-0-25</v>
      </c>
      <c r="I11" s="15" t="str">
        <f t="shared" si="0"/>
        <v>BCP</v>
      </c>
      <c r="J11" s="153" t="str">
        <f>+CONCATENATE(Facturas!J76," (",Facturas!S76, ")")</f>
        <v>Implementación de las NIIF (Adm&amp;Fin)</v>
      </c>
      <c r="K11" s="139" t="str">
        <f>+Facturas!L76</f>
        <v xml:space="preserve">Cuota 1/2 - 50% </v>
      </c>
      <c r="L11" s="154" t="s">
        <v>621</v>
      </c>
      <c r="M11" s="152">
        <v>1</v>
      </c>
      <c r="N11" s="155">
        <f>+Facturas!M76</f>
        <v>7150</v>
      </c>
      <c r="O11" s="152">
        <f t="shared" si="1"/>
        <v>7150</v>
      </c>
      <c r="P11" s="156" t="s">
        <v>618</v>
      </c>
    </row>
    <row r="12" spans="2:23" x14ac:dyDescent="0.3">
      <c r="B12" s="15" t="s">
        <v>378</v>
      </c>
      <c r="C12" s="15" t="s">
        <v>598</v>
      </c>
      <c r="D12" s="15" t="s">
        <v>243</v>
      </c>
      <c r="E12" s="152" t="str">
        <f>+Facturas!J77</f>
        <v>Portal del cliente</v>
      </c>
      <c r="F12" s="15">
        <f t="shared" si="2"/>
        <v>20547121628</v>
      </c>
      <c r="G12" s="15" t="s">
        <v>599</v>
      </c>
      <c r="H12" s="15" t="str">
        <f t="shared" si="3"/>
        <v>194-2097981-0-25</v>
      </c>
      <c r="I12" s="15" t="str">
        <f t="shared" si="0"/>
        <v>BCP</v>
      </c>
      <c r="J12" s="153" t="str">
        <f>+CONCATENATE(Facturas!J77," (",Facturas!S77, ")")</f>
        <v>Portal del cliente (SAC&amp;Parque)</v>
      </c>
      <c r="K12" s="139" t="str">
        <f>+Facturas!L77</f>
        <v>Cuota 1/3 - 30%. Parte 2</v>
      </c>
      <c r="L12" s="154" t="s">
        <v>621</v>
      </c>
      <c r="M12" s="152">
        <v>1</v>
      </c>
      <c r="N12" s="155">
        <f>+Facturas!M77</f>
        <v>3000</v>
      </c>
      <c r="O12" s="152">
        <f t="shared" si="1"/>
        <v>3000</v>
      </c>
      <c r="P12" s="156" t="s">
        <v>618</v>
      </c>
    </row>
    <row r="13" spans="2:23" ht="43.2" x14ac:dyDescent="0.3">
      <c r="B13" s="15" t="s">
        <v>378</v>
      </c>
      <c r="C13" s="15" t="s">
        <v>598</v>
      </c>
      <c r="D13" s="15" t="s">
        <v>243</v>
      </c>
      <c r="E13" s="152" t="str">
        <f>+Facturas!J78</f>
        <v>Mantenimiento SG5 // Feb 23 - Ene 24</v>
      </c>
      <c r="F13" s="15">
        <f>+VLOOKUP(G13,$T$14:$W$16,2,FALSE)</f>
        <v>20547121628</v>
      </c>
      <c r="G13" s="15" t="s">
        <v>599</v>
      </c>
      <c r="H13" s="15" t="str">
        <f>+VLOOKUP(G13,$T$14:$W$16,3,FALSE)</f>
        <v>194-2097981-0-25</v>
      </c>
      <c r="I13" s="15" t="str">
        <f>+VLOOKUP(G13,$T$14:$W$16,4)</f>
        <v>BCP</v>
      </c>
      <c r="J13" s="153" t="str">
        <f>+CONCATENATE(Facturas!J78," (",Facturas!S78, ")")</f>
        <v>Mantenimiento SG5 // Feb 23 - Ene 24 (Operaciones)</v>
      </c>
      <c r="K13" s="139" t="str">
        <f>+Facturas!L78</f>
        <v>Cuota 11/12 (Dic)</v>
      </c>
      <c r="L13" s="154" t="s">
        <v>621</v>
      </c>
      <c r="M13" s="152">
        <v>1</v>
      </c>
      <c r="N13" s="155">
        <f>+Facturas!M78</f>
        <v>5100</v>
      </c>
      <c r="O13" s="152">
        <f t="shared" si="1"/>
        <v>5100</v>
      </c>
      <c r="P13" s="180" t="s">
        <v>618</v>
      </c>
      <c r="T13" s="134" t="s">
        <v>590</v>
      </c>
      <c r="U13" s="134" t="s">
        <v>589</v>
      </c>
      <c r="V13" s="134" t="s">
        <v>591</v>
      </c>
      <c r="W13" s="134" t="s">
        <v>592</v>
      </c>
    </row>
    <row r="14" spans="2:23" x14ac:dyDescent="0.3">
      <c r="B14" s="3" t="s">
        <v>378</v>
      </c>
      <c r="C14" s="3" t="s">
        <v>598</v>
      </c>
      <c r="D14" s="3" t="s">
        <v>243</v>
      </c>
      <c r="E14" s="176" t="str">
        <f>+Facturas!J79</f>
        <v>Modificación en la distribución de espacios</v>
      </c>
      <c r="F14" s="3">
        <f>+VLOOKUP(G14,$T$14:$W$16,2,FALSE)</f>
        <v>20547121628</v>
      </c>
      <c r="G14" s="3" t="s">
        <v>599</v>
      </c>
      <c r="H14" s="3" t="str">
        <f>+VLOOKUP(G14,$T$14:$W$16,3,FALSE)</f>
        <v>194-2097981-0-25</v>
      </c>
      <c r="I14" s="3" t="str">
        <f>+VLOOKUP(G14,$T$14:$W$16,4)</f>
        <v>BCP</v>
      </c>
      <c r="J14" s="177" t="str">
        <f>+CONCATENATE(Facturas!J79," (",Facturas!S79, ")")</f>
        <v>Modificación en la distribución de espacios (Operaciones)</v>
      </c>
      <c r="K14" s="139" t="str">
        <f>+Facturas!L79</f>
        <v xml:space="preserve">Cuota 2/2 - 50% </v>
      </c>
      <c r="L14" s="178" t="s">
        <v>621</v>
      </c>
      <c r="M14" s="176">
        <v>1</v>
      </c>
      <c r="N14" s="179">
        <f>+Facturas!M79</f>
        <v>5600</v>
      </c>
      <c r="O14" s="181">
        <f>M14*N14</f>
        <v>5600</v>
      </c>
      <c r="P14" s="180" t="s">
        <v>618</v>
      </c>
      <c r="T14" s="30" t="s">
        <v>599</v>
      </c>
      <c r="U14" s="30">
        <v>20547121628</v>
      </c>
      <c r="V14" s="30" t="s">
        <v>601</v>
      </c>
      <c r="W14" s="30" t="s">
        <v>600</v>
      </c>
    </row>
    <row r="15" spans="2:23" x14ac:dyDescent="0.3">
      <c r="B15" s="3" t="s">
        <v>378</v>
      </c>
      <c r="C15" s="3" t="s">
        <v>598</v>
      </c>
      <c r="D15" s="3" t="s">
        <v>243</v>
      </c>
      <c r="E15" s="176" t="str">
        <f>+Facturas!J80</f>
        <v>Portal del cliente</v>
      </c>
      <c r="F15" s="3">
        <f>+VLOOKUP(G15,$T$14:$W$16,2,FALSE)</f>
        <v>20547121628</v>
      </c>
      <c r="G15" s="3" t="s">
        <v>599</v>
      </c>
      <c r="H15" s="3" t="str">
        <f>+VLOOKUP(G15,$T$14:$W$16,3,FALSE)</f>
        <v>194-2097981-0-25</v>
      </c>
      <c r="I15" s="3" t="str">
        <f>+VLOOKUP(G15,$T$14:$W$16,4)</f>
        <v>BCP</v>
      </c>
      <c r="J15" s="177" t="str">
        <f>+CONCATENATE(Facturas!J80," (",Facturas!S80, ")")</f>
        <v>Portal del cliente (SAC&amp;Parque)</v>
      </c>
      <c r="K15" s="139" t="str">
        <f>+Facturas!L80</f>
        <v>Cuota 2/3 - 35%. Parte 2</v>
      </c>
      <c r="L15" s="178" t="s">
        <v>621</v>
      </c>
      <c r="M15" s="176">
        <v>1</v>
      </c>
      <c r="N15" s="179">
        <f>+Facturas!M80</f>
        <v>3500</v>
      </c>
      <c r="O15" s="176">
        <f t="shared" si="1"/>
        <v>3500</v>
      </c>
      <c r="P15" s="180" t="s">
        <v>618</v>
      </c>
      <c r="T15" s="30" t="s">
        <v>657</v>
      </c>
      <c r="U15" s="30">
        <v>20524719585</v>
      </c>
      <c r="V15" s="30" t="s">
        <v>604</v>
      </c>
      <c r="W15" s="30" t="s">
        <v>600</v>
      </c>
    </row>
    <row r="16" spans="2:23" x14ac:dyDescent="0.3">
      <c r="B16" s="3" t="s">
        <v>378</v>
      </c>
      <c r="C16" s="3" t="s">
        <v>598</v>
      </c>
      <c r="D16" s="3" t="s">
        <v>243</v>
      </c>
      <c r="E16" s="176" t="str">
        <f>+Facturas!J81</f>
        <v>Mantenimiento SG5 // Feb 23 - Ene 24</v>
      </c>
      <c r="F16" s="3">
        <f>+VLOOKUP(G16,$T$14:$W$16,2,FALSE)</f>
        <v>20547121628</v>
      </c>
      <c r="G16" s="3" t="s">
        <v>599</v>
      </c>
      <c r="H16" s="3" t="str">
        <f>+VLOOKUP(G16,$T$14:$W$16,3,FALSE)</f>
        <v>194-2097981-0-25</v>
      </c>
      <c r="I16" s="3" t="str">
        <f>+VLOOKUP(G16,$T$14:$W$16,4)</f>
        <v>BCP</v>
      </c>
      <c r="J16" s="177" t="str">
        <f>+CONCATENATE(Facturas!J81," (",Facturas!S81, ")")</f>
        <v>Mantenimiento SG5 // Feb 23 - Ene 24 (Operaciones)</v>
      </c>
      <c r="K16" s="139" t="str">
        <f>+Facturas!L81</f>
        <v>Cuota 12/12 (Ene)</v>
      </c>
      <c r="L16" s="178" t="s">
        <v>621</v>
      </c>
      <c r="M16" s="176">
        <v>1</v>
      </c>
      <c r="N16" s="179">
        <f>+Facturas!M81</f>
        <v>5100</v>
      </c>
      <c r="O16" s="176">
        <f t="shared" si="1"/>
        <v>5100</v>
      </c>
      <c r="P16" s="180" t="s">
        <v>618</v>
      </c>
      <c r="T16" s="73" t="s">
        <v>606</v>
      </c>
      <c r="U16" s="30">
        <v>20539909755</v>
      </c>
      <c r="V16" s="30" t="s">
        <v>607</v>
      </c>
      <c r="W16" s="30" t="s">
        <v>600</v>
      </c>
    </row>
    <row r="17" spans="2:16" x14ac:dyDescent="0.3">
      <c r="B17" s="3" t="s">
        <v>378</v>
      </c>
      <c r="C17" s="3" t="s">
        <v>598</v>
      </c>
      <c r="D17" s="3" t="s">
        <v>243</v>
      </c>
      <c r="E17" s="176" t="str">
        <f>+Facturas!J82</f>
        <v>Implementación de las NIIF</v>
      </c>
      <c r="F17" s="3">
        <f t="shared" ref="F17:F18" si="4">+VLOOKUP(G17,$T$14:$W$16,2,FALSE)</f>
        <v>20547121628</v>
      </c>
      <c r="G17" s="3" t="s">
        <v>599</v>
      </c>
      <c r="H17" s="3" t="str">
        <f t="shared" ref="H17:H18" si="5">+VLOOKUP(G17,$T$14:$W$16,3,FALSE)</f>
        <v>194-2097981-0-25</v>
      </c>
      <c r="I17" s="3" t="str">
        <f t="shared" ref="I17:I18" si="6">+VLOOKUP(G17,$T$14:$W$16,4)</f>
        <v>BCP</v>
      </c>
      <c r="J17" s="177" t="str">
        <f>+CONCATENATE(Facturas!J82," (",Facturas!S82, ")")</f>
        <v>Implementación de las NIIF (Adm&amp;Fin)</v>
      </c>
      <c r="K17" s="139" t="str">
        <f>+Facturas!L82</f>
        <v xml:space="preserve">Cuota 2/2 - 50% </v>
      </c>
      <c r="L17" s="178" t="s">
        <v>621</v>
      </c>
      <c r="M17" s="176">
        <v>1</v>
      </c>
      <c r="N17" s="179">
        <f>+Facturas!M82</f>
        <v>7150</v>
      </c>
      <c r="O17" s="176">
        <f t="shared" ref="O17:O18" si="7">M17*N17</f>
        <v>7150</v>
      </c>
      <c r="P17" s="180" t="s">
        <v>618</v>
      </c>
    </row>
    <row r="18" spans="2:16" x14ac:dyDescent="0.3">
      <c r="B18" s="3" t="s">
        <v>378</v>
      </c>
      <c r="C18" s="3" t="s">
        <v>598</v>
      </c>
      <c r="D18" s="3" t="s">
        <v>243</v>
      </c>
      <c r="E18" s="176" t="str">
        <f>+Facturas!J83</f>
        <v>Portal del cliente</v>
      </c>
      <c r="F18" s="3">
        <f t="shared" si="4"/>
        <v>20547121628</v>
      </c>
      <c r="G18" s="3" t="s">
        <v>599</v>
      </c>
      <c r="H18" s="3" t="str">
        <f t="shared" si="5"/>
        <v>194-2097981-0-25</v>
      </c>
      <c r="I18" s="3" t="str">
        <f t="shared" si="6"/>
        <v>BCP</v>
      </c>
      <c r="J18" s="177" t="str">
        <f>+CONCATENATE(Facturas!J83," (",Facturas!S83, ")")</f>
        <v>Portal del cliente (SAC&amp;Parque)</v>
      </c>
      <c r="K18" s="139" t="str">
        <f>+Facturas!L83</f>
        <v>Cuota 3/3 -  35%. Parte 2</v>
      </c>
      <c r="L18" s="178" t="s">
        <v>621</v>
      </c>
      <c r="M18" s="176">
        <v>1</v>
      </c>
      <c r="N18" s="179">
        <f>+Facturas!M83</f>
        <v>3500</v>
      </c>
      <c r="O18" s="176">
        <f t="shared" si="7"/>
        <v>3500</v>
      </c>
      <c r="P18" s="180" t="s">
        <v>618</v>
      </c>
    </row>
    <row r="33" spans="2:17" ht="28.8" x14ac:dyDescent="0.3">
      <c r="B33" s="136" t="s">
        <v>378</v>
      </c>
      <c r="C33" s="136" t="s">
        <v>598</v>
      </c>
      <c r="D33" s="15" t="s">
        <v>243</v>
      </c>
      <c r="E33" s="15" t="str">
        <f>+Facturas!Q73</f>
        <v>Gasto</v>
      </c>
      <c r="F33" s="136">
        <f>+VLOOKUP(G33,$T$14:$W$16,2,FALSE)</f>
        <v>20547121628</v>
      </c>
      <c r="G33" s="136" t="s">
        <v>599</v>
      </c>
      <c r="H33" s="136" t="str">
        <f>+VLOOKUP(G33,$T$14:$W$16,3,FALSE)</f>
        <v>194-2097981-0-25</v>
      </c>
      <c r="I33" s="136" t="str">
        <f>+VLOOKUP(G33,$T$14:$W$16,4)</f>
        <v>BCP</v>
      </c>
      <c r="J33" s="141" t="str">
        <f>+CONCATENATE(Facturas!J72," (",Facturas!S72, ")")</f>
        <v>MANTENIMIENTO ERP EXACTUS. PERIODO DEL
20/10/23 AL 20/10/24 (Operaciones)</v>
      </c>
      <c r="K33" s="139" t="str">
        <f>+Facturas!L72</f>
        <v>Cuota única</v>
      </c>
      <c r="L33" s="137" t="s">
        <v>621</v>
      </c>
      <c r="M33" s="136">
        <v>1</v>
      </c>
      <c r="N33" s="136">
        <v>9280</v>
      </c>
      <c r="O33" s="136">
        <f>M33*N33</f>
        <v>9280</v>
      </c>
      <c r="P33" s="138" t="s">
        <v>618</v>
      </c>
      <c r="Q33" s="29" t="s">
        <v>634</v>
      </c>
    </row>
  </sheetData>
  <autoFilter ref="B1:Q18" xr:uid="{A3BEC44D-0BAA-4092-B876-5A53D34C8E74}"/>
  <phoneticPr fontId="8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DD053-031F-4EC3-90F7-45E57C9533E4}">
  <sheetPr>
    <tabColor rgb="FF7030A0"/>
  </sheetPr>
  <dimension ref="A1:T32"/>
  <sheetViews>
    <sheetView showGridLines="0" zoomScale="88" workbookViewId="0">
      <selection activeCell="H30" sqref="H30"/>
    </sheetView>
  </sheetViews>
  <sheetFormatPr baseColWidth="10" defaultRowHeight="14.4" x14ac:dyDescent="0.3"/>
  <cols>
    <col min="2" max="2" width="11.44140625" style="15" customWidth="1"/>
    <col min="3" max="3" width="6.33203125" style="15" customWidth="1"/>
    <col min="4" max="4" width="13.5546875" style="15" customWidth="1"/>
    <col min="5" max="5" width="26" style="15" bestFit="1" customWidth="1"/>
    <col min="6" max="6" width="12" style="15" bestFit="1" customWidth="1"/>
    <col min="7" max="7" width="27.88671875" style="15" bestFit="1" customWidth="1"/>
    <col min="8" max="8" width="16.33203125" style="15" bestFit="1" customWidth="1"/>
    <col min="9" max="9" width="7.6640625" style="15" customWidth="1"/>
    <col min="10" max="10" width="41.33203125" style="28" customWidth="1"/>
    <col min="11" max="11" width="10.5546875" style="15" customWidth="1"/>
    <col min="12" max="12" width="17.44140625" style="15" customWidth="1"/>
    <col min="13" max="13" width="11.44140625" style="15"/>
    <col min="14" max="14" width="13.44140625" style="30" customWidth="1"/>
    <col min="15" max="16" width="11.44140625" style="29"/>
    <col min="18" max="18" width="12" bestFit="1" customWidth="1"/>
    <col min="19" max="19" width="16.33203125" bestFit="1" customWidth="1"/>
  </cols>
  <sheetData>
    <row r="1" spans="1:20" ht="43.2" x14ac:dyDescent="0.3">
      <c r="B1"/>
      <c r="C1" s="134" t="s">
        <v>586</v>
      </c>
      <c r="D1" s="134" t="s">
        <v>587</v>
      </c>
      <c r="E1" s="134" t="s">
        <v>588</v>
      </c>
      <c r="F1" s="134" t="s">
        <v>589</v>
      </c>
      <c r="G1" s="134" t="s">
        <v>590</v>
      </c>
      <c r="H1" s="134" t="s">
        <v>591</v>
      </c>
      <c r="I1" s="134" t="s">
        <v>592</v>
      </c>
      <c r="J1" s="134" t="s">
        <v>593</v>
      </c>
      <c r="K1" s="134" t="s">
        <v>594</v>
      </c>
      <c r="L1" s="134" t="s">
        <v>595</v>
      </c>
      <c r="M1" s="134" t="s">
        <v>596</v>
      </c>
      <c r="N1" s="134" t="s">
        <v>597</v>
      </c>
      <c r="Q1" s="134" t="s">
        <v>590</v>
      </c>
      <c r="R1" s="134" t="s">
        <v>589</v>
      </c>
      <c r="S1" s="134" t="s">
        <v>591</v>
      </c>
      <c r="T1" s="134" t="s">
        <v>592</v>
      </c>
    </row>
    <row r="2" spans="1:20" x14ac:dyDescent="0.3">
      <c r="A2" t="s">
        <v>584</v>
      </c>
      <c r="B2"/>
      <c r="C2" s="15" t="s">
        <v>598</v>
      </c>
      <c r="D2" s="15" t="s">
        <v>243</v>
      </c>
      <c r="E2" s="15">
        <f>VLOOKUP(A2,Tabla2[[Factura]:[Cuenta]],10,FALSE)</f>
        <v>5100</v>
      </c>
      <c r="F2" s="15">
        <f>VLOOKUP(G2,Q:T,2,0)</f>
        <v>20547121628</v>
      </c>
      <c r="G2" s="15" t="s">
        <v>599</v>
      </c>
      <c r="H2" s="15" t="str">
        <f>VLOOKUP(G2,Q:T,3,0)</f>
        <v>194-2097981-0-25</v>
      </c>
      <c r="I2" s="15" t="str">
        <f t="shared" ref="I2:I11" si="0">VLOOKUP(G2,Q:T,4,0)</f>
        <v>BCP</v>
      </c>
      <c r="J2" s="28">
        <f>VLOOKUP(A2,Tabla2[[Factura]:[Proyecto]],3,FALSE)</f>
        <v>0</v>
      </c>
      <c r="K2" s="15">
        <v>1</v>
      </c>
      <c r="L2" s="15">
        <f>VLOOKUP(A2,Tabla2[[Factura]:[Detalle cuota]],5,)</f>
        <v>0</v>
      </c>
      <c r="M2" s="15" t="str">
        <f>VLOOKUP(A2,Tabla2[[Factura]:[Cuota]],6,FALSE)</f>
        <v>Cuota 7/12 (Ago)</v>
      </c>
      <c r="N2" s="15">
        <f>VLOOKUP(A2,Tabla2[[Factura]:[Total cuotas]],7,FALSE)</f>
        <v>5100</v>
      </c>
      <c r="Q2" s="30" t="s">
        <v>599</v>
      </c>
      <c r="R2" s="30">
        <v>20547121628</v>
      </c>
      <c r="S2" s="30" t="s">
        <v>601</v>
      </c>
      <c r="T2" s="30" t="s">
        <v>600</v>
      </c>
    </row>
    <row r="3" spans="1:20" x14ac:dyDescent="0.3">
      <c r="A3" t="s">
        <v>585</v>
      </c>
      <c r="B3"/>
      <c r="C3" s="15" t="s">
        <v>598</v>
      </c>
      <c r="D3" s="15" t="s">
        <v>243</v>
      </c>
      <c r="E3" s="15">
        <f>VLOOKUP(A3,Tabla2[[Factura]:[Cuenta]],10,FALSE)</f>
        <v>5460</v>
      </c>
      <c r="F3" s="15">
        <f>VLOOKUP(G3,Q:T,2,0)</f>
        <v>20547121628</v>
      </c>
      <c r="G3" s="15" t="s">
        <v>599</v>
      </c>
      <c r="H3" s="15" t="str">
        <f>VLOOKUP(G3,Q:T,3,0)</f>
        <v>194-2097981-0-25</v>
      </c>
      <c r="I3" s="15" t="str">
        <f t="shared" si="0"/>
        <v>BCP</v>
      </c>
      <c r="J3" s="28" t="str">
        <f>VLOOKUP(A3,Tabla2[[Factura]:[Proyecto]],3,FALSE)</f>
        <v>OS0000896</v>
      </c>
      <c r="K3" s="15">
        <v>1</v>
      </c>
      <c r="L3" s="15">
        <f>VLOOKUP(A3,Tabla2[[Factura]:[Detalle cuota]],5,)</f>
        <v>4</v>
      </c>
      <c r="M3" s="15" t="str">
        <f>VLOOKUP(A3,Tabla2[[Factura]:[Cuota]],6,FALSE)</f>
        <v>Cuota 4/6 - 70% / 5</v>
      </c>
      <c r="N3" s="15">
        <f>VLOOKUP(A3,Tabla2[[Factura]:[Total cuotas]],7,FALSE)</f>
        <v>5460</v>
      </c>
      <c r="Q3" s="30" t="s">
        <v>603</v>
      </c>
      <c r="R3" s="30">
        <v>20524719585</v>
      </c>
      <c r="S3" s="30" t="s">
        <v>604</v>
      </c>
      <c r="T3" s="30" t="s">
        <v>600</v>
      </c>
    </row>
    <row r="4" spans="1:20" x14ac:dyDescent="0.3">
      <c r="A4" t="s">
        <v>602</v>
      </c>
      <c r="B4"/>
      <c r="C4" s="15" t="s">
        <v>598</v>
      </c>
      <c r="D4" s="15" t="s">
        <v>243</v>
      </c>
      <c r="E4" s="15">
        <f>VLOOKUP(A4,Tabla2[[Factura]:[Cuenta]],10,FALSE)</f>
        <v>11000</v>
      </c>
      <c r="F4" s="15">
        <f>VLOOKUP(G4,Q:T,2,0)</f>
        <v>20524719585</v>
      </c>
      <c r="G4" s="15" t="s">
        <v>603</v>
      </c>
      <c r="H4" s="15" t="str">
        <f>VLOOKUP(G4,Q:T,3,0)</f>
        <v>194-20176075-0-72</v>
      </c>
      <c r="I4" s="15" t="str">
        <f t="shared" si="0"/>
        <v>BCP</v>
      </c>
      <c r="J4" s="28" t="str">
        <f>VLOOKUP(A4,Tabla2[[Factura]:[Proyecto]],3,FALSE)</f>
        <v>OS0000796</v>
      </c>
      <c r="K4" s="15">
        <v>1</v>
      </c>
      <c r="L4" s="15">
        <f>VLOOKUP(A4,Tabla2[[Factura]:[Detalle cuota]],5,)</f>
        <v>2</v>
      </c>
      <c r="M4" s="15" t="str">
        <f>VLOOKUP(A4,Tabla2[[Factura]:[Cuota]],6,FALSE)</f>
        <v>Cuota 2/2</v>
      </c>
      <c r="N4" s="15">
        <f>VLOOKUP(A4,Tabla2[[Factura]:[Total cuotas]],7,FALSE)</f>
        <v>11000</v>
      </c>
    </row>
    <row r="5" spans="1:20" x14ac:dyDescent="0.3">
      <c r="B5"/>
      <c r="C5" s="15" t="s">
        <v>598</v>
      </c>
      <c r="D5" s="15" t="s">
        <v>243</v>
      </c>
      <c r="E5" s="15" t="e">
        <f>VLOOKUP(A5,Tabla2[[Factura]:[Cuenta]],10,FALSE)</f>
        <v>#N/A</v>
      </c>
      <c r="F5" s="15" t="e">
        <f t="shared" ref="F5:F11" si="1">VLOOKUP(G5,Q:T,2,0)</f>
        <v>#N/A</v>
      </c>
      <c r="H5" s="15" t="e">
        <f t="shared" ref="H5:H11" si="2">VLOOKUP(G5,Q:T,3,0)</f>
        <v>#N/A</v>
      </c>
      <c r="I5" s="15" t="e">
        <f t="shared" si="0"/>
        <v>#N/A</v>
      </c>
      <c r="J5" s="28" t="e">
        <f>VLOOKUP(A5,Tabla2[[Factura]:[Proyecto]],3,FALSE)</f>
        <v>#N/A</v>
      </c>
      <c r="K5" s="15">
        <v>1</v>
      </c>
      <c r="L5" s="15" t="e">
        <f>VLOOKUP(A5,Tabla2[[Factura]:[Detalle cuota]],5,)</f>
        <v>#N/A</v>
      </c>
      <c r="M5" s="15" t="e">
        <f>VLOOKUP(A5,Tabla2[[Factura]:[Cuota]],6,FALSE)</f>
        <v>#N/A</v>
      </c>
      <c r="N5" s="15" t="e">
        <f>VLOOKUP(A5,Tabla2[[Factura]:[Total cuotas]],7,FALSE)</f>
        <v>#N/A</v>
      </c>
    </row>
    <row r="6" spans="1:20" x14ac:dyDescent="0.3">
      <c r="B6"/>
      <c r="C6" s="15" t="s">
        <v>598</v>
      </c>
      <c r="D6" s="15" t="s">
        <v>243</v>
      </c>
      <c r="E6" s="15" t="e">
        <f>VLOOKUP(A6,Tabla2[[Factura]:[Cuenta]],10,FALSE)</f>
        <v>#N/A</v>
      </c>
      <c r="F6" s="15" t="e">
        <f t="shared" si="1"/>
        <v>#N/A</v>
      </c>
      <c r="H6" s="15" t="e">
        <f t="shared" si="2"/>
        <v>#N/A</v>
      </c>
      <c r="I6" s="15" t="e">
        <f t="shared" si="0"/>
        <v>#N/A</v>
      </c>
      <c r="J6" s="28" t="e">
        <f>VLOOKUP(A6,Tabla2[[Factura]:[Proyecto]],3,FALSE)</f>
        <v>#N/A</v>
      </c>
      <c r="K6" s="15">
        <v>1</v>
      </c>
      <c r="L6" s="15" t="e">
        <f>VLOOKUP(A6,Tabla2[[Factura]:[Detalle cuota]],5,)</f>
        <v>#N/A</v>
      </c>
      <c r="M6" s="15" t="e">
        <f>VLOOKUP(A6,Tabla2[[Factura]:[Cuota]],6,FALSE)</f>
        <v>#N/A</v>
      </c>
      <c r="N6" s="15" t="e">
        <f>VLOOKUP(A6,Tabla2[[Factura]:[Total cuotas]],7,FALSE)</f>
        <v>#N/A</v>
      </c>
    </row>
    <row r="7" spans="1:20" x14ac:dyDescent="0.3">
      <c r="B7"/>
      <c r="C7" s="15" t="s">
        <v>598</v>
      </c>
      <c r="D7" s="15" t="s">
        <v>243</v>
      </c>
      <c r="E7" s="15" t="e">
        <f>VLOOKUP(A7,Tabla2[[Factura]:[Cuenta]],10,FALSE)</f>
        <v>#N/A</v>
      </c>
      <c r="F7" s="15" t="e">
        <f t="shared" si="1"/>
        <v>#N/A</v>
      </c>
      <c r="H7" s="15" t="e">
        <f t="shared" si="2"/>
        <v>#N/A</v>
      </c>
      <c r="I7" s="15" t="e">
        <f t="shared" si="0"/>
        <v>#N/A</v>
      </c>
      <c r="J7" s="28" t="e">
        <f>VLOOKUP(A7,Tabla2[[Factura]:[Proyecto]],3,FALSE)</f>
        <v>#N/A</v>
      </c>
      <c r="K7" s="15">
        <v>1</v>
      </c>
      <c r="L7" s="15" t="e">
        <f>VLOOKUP(A7,Tabla2[[Factura]:[Detalle cuota]],5,)</f>
        <v>#N/A</v>
      </c>
      <c r="M7" s="15" t="e">
        <f>VLOOKUP(A7,Tabla2[[Factura]:[Cuota]],6,FALSE)</f>
        <v>#N/A</v>
      </c>
      <c r="N7" s="15" t="e">
        <f>VLOOKUP(A7,Tabla2[[Factura]:[Total cuotas]],7,FALSE)</f>
        <v>#N/A</v>
      </c>
    </row>
    <row r="8" spans="1:20" x14ac:dyDescent="0.3">
      <c r="B8"/>
      <c r="C8" s="15" t="s">
        <v>598</v>
      </c>
      <c r="D8" s="15" t="s">
        <v>243</v>
      </c>
      <c r="E8" s="15" t="e">
        <f>VLOOKUP(A8,Tabla2[[Factura]:[Cuenta]],10,FALSE)</f>
        <v>#N/A</v>
      </c>
      <c r="F8" s="15" t="e">
        <f t="shared" si="1"/>
        <v>#N/A</v>
      </c>
      <c r="H8" s="15" t="e">
        <f t="shared" si="2"/>
        <v>#N/A</v>
      </c>
      <c r="I8" s="15" t="e">
        <f t="shared" si="0"/>
        <v>#N/A</v>
      </c>
      <c r="J8" s="28" t="e">
        <f>VLOOKUP(A8,Tabla2[[Factura]:[Proyecto]],3,FALSE)</f>
        <v>#N/A</v>
      </c>
      <c r="K8" s="15">
        <v>1</v>
      </c>
      <c r="L8" s="15" t="e">
        <f>VLOOKUP(A8,Tabla2[[Factura]:[Detalle cuota]],5,)</f>
        <v>#N/A</v>
      </c>
      <c r="M8" s="15" t="e">
        <f>VLOOKUP(A8,Tabla2[[Factura]:[Cuota]],6,FALSE)</f>
        <v>#N/A</v>
      </c>
      <c r="N8" s="15" t="e">
        <f>VLOOKUP(A8,Tabla2[[Factura]:[Total cuotas]],7,FALSE)</f>
        <v>#N/A</v>
      </c>
    </row>
    <row r="9" spans="1:20" x14ac:dyDescent="0.3">
      <c r="B9"/>
      <c r="C9" s="15" t="s">
        <v>598</v>
      </c>
      <c r="D9" s="15" t="s">
        <v>243</v>
      </c>
      <c r="E9" s="15" t="e">
        <f>VLOOKUP(A9,Tabla2[[Factura]:[Cuenta]],10,FALSE)</f>
        <v>#N/A</v>
      </c>
      <c r="F9" s="15" t="e">
        <f t="shared" si="1"/>
        <v>#N/A</v>
      </c>
      <c r="H9" s="15" t="e">
        <f t="shared" si="2"/>
        <v>#N/A</v>
      </c>
      <c r="I9" s="15" t="e">
        <f t="shared" si="0"/>
        <v>#N/A</v>
      </c>
      <c r="J9" s="28" t="e">
        <f>VLOOKUP(A9,Tabla2[[Factura]:[Proyecto]],3,FALSE)</f>
        <v>#N/A</v>
      </c>
      <c r="K9" s="15">
        <v>1</v>
      </c>
      <c r="L9" s="15" t="e">
        <f>VLOOKUP(A9,Tabla2[[Factura]:[Detalle cuota]],5,)</f>
        <v>#N/A</v>
      </c>
      <c r="M9" s="15" t="e">
        <f>VLOOKUP(A9,Tabla2[[Factura]:[Cuota]],6,FALSE)</f>
        <v>#N/A</v>
      </c>
      <c r="N9" s="15" t="e">
        <f>VLOOKUP(A9,Tabla2[[Factura]:[Total cuotas]],7,FALSE)</f>
        <v>#N/A</v>
      </c>
    </row>
    <row r="10" spans="1:20" x14ac:dyDescent="0.3">
      <c r="B10"/>
      <c r="C10" s="15" t="s">
        <v>598</v>
      </c>
      <c r="D10" s="15" t="s">
        <v>243</v>
      </c>
      <c r="E10" s="15" t="e">
        <f>VLOOKUP(A10,Tabla2[[Factura]:[Cuenta]],10,FALSE)</f>
        <v>#N/A</v>
      </c>
      <c r="F10" s="15" t="e">
        <f t="shared" si="1"/>
        <v>#N/A</v>
      </c>
      <c r="H10" s="15" t="e">
        <f t="shared" si="2"/>
        <v>#N/A</v>
      </c>
      <c r="I10" s="15" t="e">
        <f t="shared" si="0"/>
        <v>#N/A</v>
      </c>
      <c r="J10" s="28" t="e">
        <f>VLOOKUP(A10,Tabla2[[Factura]:[Proyecto]],3,FALSE)</f>
        <v>#N/A</v>
      </c>
      <c r="K10" s="15">
        <v>1</v>
      </c>
      <c r="L10" s="15" t="e">
        <f>VLOOKUP(A10,Tabla2[[Factura]:[Detalle cuota]],5,)</f>
        <v>#N/A</v>
      </c>
      <c r="M10" s="15" t="e">
        <f>VLOOKUP(A10,Tabla2[[Factura]:[Cuota]],6,FALSE)</f>
        <v>#N/A</v>
      </c>
      <c r="N10" s="15" t="e">
        <f>VLOOKUP(A10,Tabla2[[Factura]:[Total cuotas]],7,FALSE)</f>
        <v>#N/A</v>
      </c>
    </row>
    <row r="11" spans="1:20" x14ac:dyDescent="0.3">
      <c r="B11"/>
      <c r="C11" s="15" t="s">
        <v>598</v>
      </c>
      <c r="D11" s="15" t="s">
        <v>243</v>
      </c>
      <c r="E11" s="15" t="e">
        <f>VLOOKUP(A11,Tabla2[[Factura]:[Cuenta]],10,FALSE)</f>
        <v>#N/A</v>
      </c>
      <c r="F11" s="15" t="e">
        <f t="shared" si="1"/>
        <v>#N/A</v>
      </c>
      <c r="H11" s="15" t="e">
        <f t="shared" si="2"/>
        <v>#N/A</v>
      </c>
      <c r="I11" s="15" t="e">
        <f t="shared" si="0"/>
        <v>#N/A</v>
      </c>
      <c r="J11" s="28" t="e">
        <f>VLOOKUP(A11,Tabla2[[Factura]:[Proyecto]],3,FALSE)</f>
        <v>#N/A</v>
      </c>
      <c r="K11" s="15">
        <v>1</v>
      </c>
      <c r="L11" s="15" t="e">
        <f>VLOOKUP(A11,Tabla2[[Factura]:[Detalle cuota]],5,)</f>
        <v>#N/A</v>
      </c>
      <c r="M11" s="15" t="e">
        <f>VLOOKUP(A11,Tabla2[[Factura]:[Cuota]],6,FALSE)</f>
        <v>#N/A</v>
      </c>
      <c r="N11" s="15" t="e">
        <f>VLOOKUP(A11,Tabla2[[Factura]:[Total cuotas]],7,FALSE)</f>
        <v>#N/A</v>
      </c>
    </row>
    <row r="12" spans="1:20" x14ac:dyDescent="0.3">
      <c r="B12"/>
      <c r="N12" s="15"/>
    </row>
    <row r="13" spans="1:20" x14ac:dyDescent="0.3">
      <c r="B13"/>
      <c r="N13" s="15"/>
    </row>
    <row r="14" spans="1:20" x14ac:dyDescent="0.3">
      <c r="B14"/>
      <c r="N14" s="15"/>
    </row>
    <row r="15" spans="1:20" x14ac:dyDescent="0.3">
      <c r="B15"/>
      <c r="N15" s="15"/>
    </row>
    <row r="16" spans="1:20" x14ac:dyDescent="0.3">
      <c r="B16"/>
      <c r="N16" s="15"/>
    </row>
    <row r="17" spans="2:16" x14ac:dyDescent="0.3">
      <c r="B17"/>
      <c r="N17" s="15"/>
    </row>
    <row r="18" spans="2:16" ht="24" x14ac:dyDescent="0.3">
      <c r="B18" s="135" t="s">
        <v>616</v>
      </c>
      <c r="C18" s="135" t="s">
        <v>609</v>
      </c>
      <c r="D18" s="135" t="s">
        <v>610</v>
      </c>
      <c r="E18" s="135" t="s">
        <v>611</v>
      </c>
      <c r="F18" s="135" t="s">
        <v>589</v>
      </c>
      <c r="G18" s="135" t="s">
        <v>377</v>
      </c>
      <c r="H18" s="135" t="s">
        <v>617</v>
      </c>
      <c r="I18" s="135" t="s">
        <v>612</v>
      </c>
      <c r="J18" s="135" t="s">
        <v>62</v>
      </c>
      <c r="K18" s="135" t="s">
        <v>605</v>
      </c>
      <c r="L18" s="135" t="s">
        <v>613</v>
      </c>
      <c r="M18" s="135" t="s">
        <v>614</v>
      </c>
      <c r="N18" s="135" t="s">
        <v>615</v>
      </c>
      <c r="P18"/>
    </row>
    <row r="19" spans="2:16" x14ac:dyDescent="0.3">
      <c r="B19" s="15" t="s">
        <v>378</v>
      </c>
      <c r="C19" s="15" t="s">
        <v>598</v>
      </c>
      <c r="D19" s="15" t="s">
        <v>243</v>
      </c>
      <c r="E19" s="15" t="s">
        <v>385</v>
      </c>
      <c r="F19" s="15">
        <v>20539909755</v>
      </c>
      <c r="G19" s="15" t="s">
        <v>606</v>
      </c>
      <c r="H19" s="15" t="s">
        <v>607</v>
      </c>
      <c r="I19" s="15" t="s">
        <v>600</v>
      </c>
      <c r="J19" s="28" t="s">
        <v>619</v>
      </c>
      <c r="K19" s="15">
        <v>1</v>
      </c>
      <c r="L19" s="15">
        <v>700</v>
      </c>
      <c r="M19" s="15">
        <f>K19*L19</f>
        <v>700</v>
      </c>
      <c r="N19" s="30" t="s">
        <v>608</v>
      </c>
      <c r="O19" s="29" t="s">
        <v>463</v>
      </c>
    </row>
    <row r="20" spans="2:16" x14ac:dyDescent="0.3">
      <c r="B20" s="15" t="s">
        <v>378</v>
      </c>
      <c r="C20" s="15" t="s">
        <v>598</v>
      </c>
      <c r="D20" s="15" t="s">
        <v>243</v>
      </c>
      <c r="E20" s="15" t="s">
        <v>385</v>
      </c>
      <c r="F20" s="15">
        <f>VLOOKUP(G20,Q:T,2,0)</f>
        <v>20547121628</v>
      </c>
      <c r="G20" s="15" t="s">
        <v>599</v>
      </c>
      <c r="H20" s="15" t="str">
        <f>VLOOKUP(G20,Q:T,3,0)</f>
        <v>194-2097981-0-25</v>
      </c>
      <c r="I20" s="15" t="str">
        <f>VLOOKUP(G20,Q:T,4,0)</f>
        <v>BCP</v>
      </c>
      <c r="J20" s="28" t="s">
        <v>619</v>
      </c>
      <c r="K20" s="15">
        <v>1</v>
      </c>
      <c r="L20" s="15">
        <v>13700</v>
      </c>
      <c r="M20" s="15">
        <f t="shared" ref="M20:M32" si="3">K20*L20</f>
        <v>13700</v>
      </c>
      <c r="N20" s="30" t="s">
        <v>618</v>
      </c>
      <c r="O20" s="29" t="s">
        <v>463</v>
      </c>
    </row>
    <row r="21" spans="2:16" x14ac:dyDescent="0.3">
      <c r="B21" s="15" t="s">
        <v>378</v>
      </c>
      <c r="C21" s="15" t="s">
        <v>598</v>
      </c>
      <c r="D21" s="15" t="s">
        <v>243</v>
      </c>
      <c r="E21" s="15" t="s">
        <v>385</v>
      </c>
      <c r="F21" s="15">
        <f>VLOOKUP(G21,Q:T,2,0)</f>
        <v>20547121628</v>
      </c>
      <c r="G21" s="15" t="s">
        <v>599</v>
      </c>
      <c r="H21" s="15" t="str">
        <f>VLOOKUP(G21,Q:T,3,0)</f>
        <v>194-2097981-0-25</v>
      </c>
      <c r="I21" s="15" t="str">
        <f>VLOOKUP(G21,Q:T,4,0)</f>
        <v>BCP</v>
      </c>
      <c r="J21" s="28" t="s">
        <v>620</v>
      </c>
      <c r="K21" s="15">
        <v>1</v>
      </c>
      <c r="L21" s="15">
        <v>9280</v>
      </c>
      <c r="M21" s="15">
        <f t="shared" si="3"/>
        <v>9280</v>
      </c>
      <c r="N21" s="30" t="s">
        <v>618</v>
      </c>
      <c r="O21" s="29" t="s">
        <v>463</v>
      </c>
    </row>
    <row r="22" spans="2:16" x14ac:dyDescent="0.3">
      <c r="M22" s="15">
        <f t="shared" si="3"/>
        <v>0</v>
      </c>
    </row>
    <row r="23" spans="2:16" x14ac:dyDescent="0.3">
      <c r="M23" s="15">
        <f t="shared" si="3"/>
        <v>0</v>
      </c>
    </row>
    <row r="24" spans="2:16" x14ac:dyDescent="0.3">
      <c r="M24" s="15">
        <f t="shared" si="3"/>
        <v>0</v>
      </c>
    </row>
    <row r="25" spans="2:16" x14ac:dyDescent="0.3">
      <c r="M25" s="15">
        <f t="shared" si="3"/>
        <v>0</v>
      </c>
    </row>
    <row r="26" spans="2:16" x14ac:dyDescent="0.3">
      <c r="M26" s="15">
        <f t="shared" si="3"/>
        <v>0</v>
      </c>
    </row>
    <row r="27" spans="2:16" x14ac:dyDescent="0.3">
      <c r="M27" s="15">
        <f t="shared" si="3"/>
        <v>0</v>
      </c>
    </row>
    <row r="28" spans="2:16" x14ac:dyDescent="0.3">
      <c r="M28" s="15">
        <f t="shared" si="3"/>
        <v>0</v>
      </c>
    </row>
    <row r="29" spans="2:16" x14ac:dyDescent="0.3">
      <c r="M29" s="15">
        <f t="shared" si="3"/>
        <v>0</v>
      </c>
    </row>
    <row r="30" spans="2:16" x14ac:dyDescent="0.3">
      <c r="M30" s="15">
        <f t="shared" si="3"/>
        <v>0</v>
      </c>
    </row>
    <row r="31" spans="2:16" x14ac:dyDescent="0.3">
      <c r="M31" s="15">
        <f t="shared" si="3"/>
        <v>0</v>
      </c>
    </row>
    <row r="32" spans="2:16" x14ac:dyDescent="0.3">
      <c r="M32" s="15">
        <f t="shared" si="3"/>
        <v>0</v>
      </c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42C3-759D-4A92-AC73-B26DD1D1750B}">
  <sheetPr>
    <tabColor rgb="FF92D050"/>
  </sheetPr>
  <dimension ref="A3:J18"/>
  <sheetViews>
    <sheetView topLeftCell="B2" zoomScaleNormal="100" workbookViewId="0">
      <selection activeCell="J9" sqref="J9"/>
    </sheetView>
  </sheetViews>
  <sheetFormatPr baseColWidth="10" defaultRowHeight="14.4" x14ac:dyDescent="0.3"/>
  <cols>
    <col min="1" max="1" width="16.5546875" bestFit="1" customWidth="1"/>
    <col min="2" max="2" width="16.5546875" style="75" bestFit="1" customWidth="1"/>
    <col min="5" max="5" width="16.5546875" bestFit="1" customWidth="1"/>
    <col min="6" max="6" width="26.109375" bestFit="1" customWidth="1"/>
    <col min="9" max="9" width="16.5546875" bestFit="1" customWidth="1"/>
    <col min="10" max="10" width="20.6640625" bestFit="1" customWidth="1"/>
  </cols>
  <sheetData>
    <row r="3" spans="1:10" x14ac:dyDescent="0.3">
      <c r="E3" s="99" t="s">
        <v>380</v>
      </c>
      <c r="F3" t="s">
        <v>385</v>
      </c>
    </row>
    <row r="5" spans="1:10" x14ac:dyDescent="0.3">
      <c r="A5" s="99" t="s">
        <v>536</v>
      </c>
      <c r="B5" s="106" t="s">
        <v>540</v>
      </c>
      <c r="E5" s="99" t="s">
        <v>536</v>
      </c>
      <c r="F5" t="s">
        <v>543</v>
      </c>
      <c r="I5" s="99" t="s">
        <v>536</v>
      </c>
      <c r="J5" t="s">
        <v>563</v>
      </c>
    </row>
    <row r="6" spans="1:10" x14ac:dyDescent="0.3">
      <c r="A6" s="100">
        <v>2023</v>
      </c>
      <c r="B6" s="106">
        <v>0.52154296875000006</v>
      </c>
      <c r="E6" s="121">
        <v>44927</v>
      </c>
      <c r="F6" s="119">
        <v>1780</v>
      </c>
      <c r="I6" s="121">
        <v>1</v>
      </c>
      <c r="J6" s="119">
        <v>49900</v>
      </c>
    </row>
    <row r="7" spans="1:10" x14ac:dyDescent="0.3">
      <c r="A7" s="100" t="s">
        <v>362</v>
      </c>
      <c r="B7" s="106">
        <v>0</v>
      </c>
      <c r="E7" s="121">
        <v>44958</v>
      </c>
      <c r="F7" s="119">
        <v>1200</v>
      </c>
      <c r="I7" s="121">
        <v>44927</v>
      </c>
      <c r="J7" s="119">
        <v>1780</v>
      </c>
    </row>
    <row r="8" spans="1:10" x14ac:dyDescent="0.3">
      <c r="A8" s="100" t="s">
        <v>179</v>
      </c>
      <c r="B8" s="106">
        <v>0</v>
      </c>
      <c r="E8" s="121">
        <v>45017</v>
      </c>
      <c r="F8" s="119">
        <v>11700</v>
      </c>
      <c r="I8" s="121">
        <v>44958</v>
      </c>
      <c r="J8" s="119">
        <v>1200</v>
      </c>
    </row>
    <row r="9" spans="1:10" x14ac:dyDescent="0.3">
      <c r="A9" s="100" t="s">
        <v>537</v>
      </c>
      <c r="B9" s="106">
        <v>0.52154296875000006</v>
      </c>
      <c r="E9" s="121">
        <v>45047</v>
      </c>
      <c r="F9" s="119">
        <v>6405</v>
      </c>
      <c r="I9" s="121">
        <v>44986</v>
      </c>
      <c r="J9" s="119">
        <v>62430</v>
      </c>
    </row>
    <row r="10" spans="1:10" x14ac:dyDescent="0.3">
      <c r="B10"/>
      <c r="E10" s="121">
        <v>45078</v>
      </c>
      <c r="F10" s="119">
        <v>10990</v>
      </c>
      <c r="I10" s="121">
        <v>45017</v>
      </c>
      <c r="J10" s="119">
        <v>925</v>
      </c>
    </row>
    <row r="11" spans="1:10" x14ac:dyDescent="0.3">
      <c r="B11"/>
      <c r="E11" s="121">
        <v>45108</v>
      </c>
      <c r="F11" s="119">
        <v>9745</v>
      </c>
      <c r="I11" s="121">
        <v>45047</v>
      </c>
      <c r="J11" s="119">
        <v>17280</v>
      </c>
    </row>
    <row r="12" spans="1:10" x14ac:dyDescent="0.3">
      <c r="B12"/>
      <c r="E12" s="121">
        <v>45139</v>
      </c>
      <c r="F12" s="119">
        <v>5460</v>
      </c>
      <c r="I12" s="121" t="s">
        <v>537</v>
      </c>
      <c r="J12" s="119">
        <v>133515</v>
      </c>
    </row>
    <row r="13" spans="1:10" x14ac:dyDescent="0.3">
      <c r="E13" s="121">
        <v>45170</v>
      </c>
      <c r="F13" s="119">
        <v>20195</v>
      </c>
    </row>
    <row r="14" spans="1:10" x14ac:dyDescent="0.3">
      <c r="E14" s="121">
        <v>45200</v>
      </c>
      <c r="F14" s="119">
        <v>26505</v>
      </c>
    </row>
    <row r="15" spans="1:10" x14ac:dyDescent="0.3">
      <c r="E15" s="121">
        <v>45231</v>
      </c>
      <c r="F15" s="119">
        <v>19785</v>
      </c>
    </row>
    <row r="16" spans="1:10" x14ac:dyDescent="0.3">
      <c r="E16" s="121">
        <v>45261</v>
      </c>
      <c r="F16" s="119">
        <v>9100</v>
      </c>
    </row>
    <row r="17" spans="5:6" x14ac:dyDescent="0.3">
      <c r="E17" s="121">
        <v>45292</v>
      </c>
      <c r="F17" s="119">
        <v>10650</v>
      </c>
    </row>
    <row r="18" spans="5:6" x14ac:dyDescent="0.3">
      <c r="E18" s="121" t="s">
        <v>537</v>
      </c>
      <c r="F18" s="119">
        <v>133515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83A7-DAA1-486B-AF79-B80EDBC7CE13}">
  <dimension ref="B1:N9"/>
  <sheetViews>
    <sheetView workbookViewId="0">
      <selection activeCell="B1" sqref="B1:H7"/>
    </sheetView>
  </sheetViews>
  <sheetFormatPr baseColWidth="10" defaultRowHeight="14.4" x14ac:dyDescent="0.3"/>
  <cols>
    <col min="2" max="2" width="21.33203125" bestFit="1" customWidth="1"/>
    <col min="3" max="3" width="12" bestFit="1" customWidth="1"/>
    <col min="6" max="6" width="18.6640625" style="95" bestFit="1" customWidth="1"/>
    <col min="7" max="7" width="23.88671875" bestFit="1" customWidth="1"/>
    <col min="8" max="8" width="17.6640625" customWidth="1"/>
    <col min="11" max="11" width="21.33203125" bestFit="1" customWidth="1"/>
    <col min="12" max="12" width="12" bestFit="1" customWidth="1"/>
    <col min="13" max="13" width="23.88671875" customWidth="1"/>
  </cols>
  <sheetData>
    <row r="1" spans="2:14" ht="15" thickBot="1" x14ac:dyDescent="0.35">
      <c r="B1" s="143" t="s">
        <v>377</v>
      </c>
      <c r="C1" s="144" t="s">
        <v>589</v>
      </c>
      <c r="D1" s="144" t="s">
        <v>648</v>
      </c>
      <c r="E1" s="144" t="s">
        <v>62</v>
      </c>
      <c r="F1" s="161" t="s">
        <v>375</v>
      </c>
      <c r="G1" s="144" t="s">
        <v>649</v>
      </c>
      <c r="H1" s="145" t="s">
        <v>650</v>
      </c>
      <c r="I1" s="158" t="s">
        <v>50</v>
      </c>
    </row>
    <row r="2" spans="2:14" ht="23.4" hidden="1" customHeight="1" x14ac:dyDescent="0.3">
      <c r="B2" s="146" t="s">
        <v>606</v>
      </c>
      <c r="C2" s="146">
        <f>+VLOOKUP(B2,K3:N5,2,FALSE)</f>
        <v>20539909755</v>
      </c>
      <c r="D2" s="146" t="s">
        <v>646</v>
      </c>
      <c r="E2" s="146"/>
      <c r="F2" s="162" t="s">
        <v>651</v>
      </c>
      <c r="G2" s="148">
        <v>45177</v>
      </c>
      <c r="H2" s="148">
        <v>45192</v>
      </c>
      <c r="I2" t="s">
        <v>667</v>
      </c>
      <c r="K2" s="134" t="s">
        <v>590</v>
      </c>
      <c r="L2" s="134" t="s">
        <v>589</v>
      </c>
      <c r="M2" s="134" t="s">
        <v>591</v>
      </c>
      <c r="N2" s="134" t="s">
        <v>592</v>
      </c>
    </row>
    <row r="3" spans="2:14" x14ac:dyDescent="0.3">
      <c r="B3" s="30" t="s">
        <v>599</v>
      </c>
      <c r="C3" s="149">
        <v>20547121628</v>
      </c>
      <c r="D3" s="150" t="s">
        <v>642</v>
      </c>
      <c r="E3" s="150"/>
      <c r="F3" s="163" t="s">
        <v>652</v>
      </c>
      <c r="G3" s="151">
        <v>45189</v>
      </c>
      <c r="H3" s="151">
        <v>45219</v>
      </c>
      <c r="I3" t="s">
        <v>667</v>
      </c>
      <c r="K3" s="30" t="s">
        <v>599</v>
      </c>
      <c r="L3" s="30">
        <v>20547121628</v>
      </c>
      <c r="M3" s="30" t="s">
        <v>601</v>
      </c>
      <c r="N3" s="30" t="s">
        <v>600</v>
      </c>
    </row>
    <row r="4" spans="2:14" x14ac:dyDescent="0.3">
      <c r="B4" s="30" t="s">
        <v>599</v>
      </c>
      <c r="C4" s="147">
        <v>20547121628</v>
      </c>
      <c r="D4" s="146" t="s">
        <v>643</v>
      </c>
      <c r="E4" s="146"/>
      <c r="F4" s="164" t="s">
        <v>653</v>
      </c>
      <c r="G4" s="148">
        <v>45189</v>
      </c>
      <c r="H4" s="148">
        <v>45219</v>
      </c>
      <c r="I4" t="s">
        <v>667</v>
      </c>
      <c r="K4" s="30" t="s">
        <v>603</v>
      </c>
      <c r="L4" s="30">
        <v>20524719585</v>
      </c>
      <c r="M4" s="30" t="s">
        <v>604</v>
      </c>
      <c r="N4" s="30" t="s">
        <v>600</v>
      </c>
    </row>
    <row r="5" spans="2:14" x14ac:dyDescent="0.3">
      <c r="B5" s="30" t="s">
        <v>599</v>
      </c>
      <c r="C5" s="149">
        <v>20547121628</v>
      </c>
      <c r="D5" s="150" t="s">
        <v>644</v>
      </c>
      <c r="E5" s="150"/>
      <c r="F5" s="163" t="s">
        <v>654</v>
      </c>
      <c r="G5" s="151">
        <v>45189</v>
      </c>
      <c r="H5" s="151">
        <v>45219</v>
      </c>
      <c r="I5" t="s">
        <v>667</v>
      </c>
      <c r="K5" s="73" t="s">
        <v>606</v>
      </c>
      <c r="L5" s="30">
        <v>20539909755</v>
      </c>
      <c r="M5" s="30" t="s">
        <v>607</v>
      </c>
      <c r="N5" s="30" t="s">
        <v>600</v>
      </c>
    </row>
    <row r="6" spans="2:14" x14ac:dyDescent="0.3">
      <c r="B6" s="30" t="s">
        <v>599</v>
      </c>
      <c r="C6" s="147">
        <v>20547121628</v>
      </c>
      <c r="D6" s="146" t="s">
        <v>645</v>
      </c>
      <c r="E6" s="146"/>
      <c r="F6" s="164" t="s">
        <v>655</v>
      </c>
      <c r="G6" s="148">
        <v>45189</v>
      </c>
      <c r="H6" s="148">
        <v>45219</v>
      </c>
      <c r="I6" t="s">
        <v>667</v>
      </c>
    </row>
    <row r="7" spans="2:14" x14ac:dyDescent="0.3">
      <c r="B7" s="30" t="s">
        <v>599</v>
      </c>
      <c r="C7" s="149">
        <v>20547121628</v>
      </c>
      <c r="D7" s="150" t="s">
        <v>647</v>
      </c>
      <c r="E7" s="150"/>
      <c r="F7" s="163" t="s">
        <v>656</v>
      </c>
      <c r="G7" s="151">
        <v>45189</v>
      </c>
      <c r="H7" s="151">
        <v>45219</v>
      </c>
      <c r="I7" t="s">
        <v>667</v>
      </c>
    </row>
    <row r="8" spans="2:14" x14ac:dyDescent="0.3">
      <c r="B8" s="115" t="s">
        <v>599</v>
      </c>
      <c r="C8" s="149">
        <v>20547121628</v>
      </c>
      <c r="D8" s="159" t="s">
        <v>661</v>
      </c>
      <c r="E8" s="159"/>
      <c r="F8" s="163">
        <v>5295.84</v>
      </c>
      <c r="G8" s="160">
        <v>45201</v>
      </c>
      <c r="H8" s="160">
        <v>45232</v>
      </c>
      <c r="I8" t="s">
        <v>463</v>
      </c>
    </row>
    <row r="9" spans="2:14" x14ac:dyDescent="0.3">
      <c r="B9" s="115" t="s">
        <v>599</v>
      </c>
      <c r="C9" s="149">
        <v>20547121628</v>
      </c>
      <c r="D9" s="159" t="s">
        <v>666</v>
      </c>
      <c r="E9" s="159"/>
      <c r="F9" s="165">
        <v>5025.8599999999997</v>
      </c>
      <c r="G9" s="160">
        <v>45202</v>
      </c>
      <c r="H9" s="160">
        <v>45233</v>
      </c>
      <c r="I9" t="s">
        <v>463</v>
      </c>
    </row>
  </sheetData>
  <conditionalFormatting sqref="I1:I1048576">
    <cfRule type="containsText" dxfId="19" priority="1" operator="containsText" text="pagado">
      <formula>NOT(ISERROR(SEARCH("pagado",I1)))</formula>
    </cfRule>
  </conditionalFormatting>
  <conditionalFormatting sqref="I2">
    <cfRule type="cellIs" dxfId="18" priority="2" operator="equal">
      <formula>"pagado"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1CC7-C3BB-4576-823B-C645740E268A}">
  <sheetPr>
    <tabColor rgb="FF0070C0"/>
  </sheetPr>
  <dimension ref="D3:P12"/>
  <sheetViews>
    <sheetView workbookViewId="0">
      <selection activeCell="D5" sqref="D5:I8"/>
    </sheetView>
  </sheetViews>
  <sheetFormatPr baseColWidth="10" defaultColWidth="11.44140625" defaultRowHeight="14.4" x14ac:dyDescent="0.3"/>
  <cols>
    <col min="1" max="16384" width="11.44140625" style="107"/>
  </cols>
  <sheetData>
    <row r="3" spans="4:16" ht="15" customHeight="1" x14ac:dyDescent="0.3">
      <c r="D3" s="191" t="s">
        <v>541</v>
      </c>
      <c r="E3" s="191"/>
      <c r="F3" s="191"/>
      <c r="G3" s="191"/>
      <c r="H3" s="191"/>
      <c r="I3" s="191"/>
    </row>
    <row r="4" spans="4:16" ht="15" customHeight="1" x14ac:dyDescent="0.3">
      <c r="D4" s="191"/>
      <c r="E4" s="191"/>
      <c r="F4" s="191"/>
      <c r="G4" s="191"/>
      <c r="H4" s="191"/>
      <c r="I4" s="191"/>
    </row>
    <row r="5" spans="4:16" ht="15" customHeight="1" x14ac:dyDescent="0.3">
      <c r="D5" s="192">
        <f>Proyectos!V79</f>
        <v>0.52154296875000006</v>
      </c>
      <c r="E5" s="192"/>
      <c r="F5" s="192"/>
      <c r="G5" s="192"/>
      <c r="H5" s="192"/>
      <c r="I5" s="192"/>
    </row>
    <row r="6" spans="4:16" ht="15" customHeight="1" x14ac:dyDescent="0.3">
      <c r="D6" s="192"/>
      <c r="E6" s="192"/>
      <c r="F6" s="192"/>
      <c r="G6" s="192"/>
      <c r="H6" s="192"/>
      <c r="I6" s="192"/>
    </row>
    <row r="7" spans="4:16" ht="15" customHeight="1" x14ac:dyDescent="0.3">
      <c r="D7" s="192"/>
      <c r="E7" s="192"/>
      <c r="F7" s="192"/>
      <c r="G7" s="192"/>
      <c r="H7" s="192"/>
      <c r="I7" s="192"/>
    </row>
    <row r="8" spans="4:16" ht="15" customHeight="1" x14ac:dyDescent="0.3">
      <c r="D8" s="192"/>
      <c r="E8" s="192"/>
      <c r="F8" s="192"/>
      <c r="G8" s="192"/>
      <c r="H8" s="192"/>
      <c r="I8" s="192"/>
    </row>
    <row r="11" spans="4:16" x14ac:dyDescent="0.3">
      <c r="D11" s="191" t="s">
        <v>544</v>
      </c>
      <c r="E11" s="191"/>
      <c r="F11" s="191"/>
      <c r="G11" s="191"/>
      <c r="H11" s="191"/>
      <c r="I11" s="191"/>
      <c r="K11" s="191"/>
      <c r="L11" s="191"/>
      <c r="M11" s="191"/>
      <c r="N11" s="191"/>
      <c r="O11" s="191"/>
      <c r="P11" s="191"/>
    </row>
    <row r="12" spans="4:16" x14ac:dyDescent="0.3">
      <c r="D12" s="191"/>
      <c r="E12" s="191"/>
      <c r="F12" s="191"/>
      <c r="G12" s="191"/>
      <c r="H12" s="191"/>
      <c r="I12" s="191"/>
      <c r="K12" s="191"/>
      <c r="L12" s="191"/>
      <c r="M12" s="191"/>
      <c r="N12" s="191"/>
      <c r="O12" s="191"/>
      <c r="P12" s="191"/>
    </row>
  </sheetData>
  <mergeCells count="4">
    <mergeCell ref="K11:P12"/>
    <mergeCell ref="D3:I4"/>
    <mergeCell ref="D5:I8"/>
    <mergeCell ref="D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Proyectos</vt:lpstr>
      <vt:lpstr>Facturas</vt:lpstr>
      <vt:lpstr>UNION</vt:lpstr>
      <vt:lpstr>DASHBOARD</vt:lpstr>
      <vt:lpstr>OS</vt:lpstr>
      <vt:lpstr>Para logist</vt:lpstr>
      <vt:lpstr>TD</vt:lpstr>
      <vt:lpstr>Para Contab</vt:lpstr>
      <vt:lpstr>DB</vt:lpstr>
      <vt:lpstr>Resumen</vt:lpstr>
      <vt:lpstr>Evaluación</vt:lpstr>
      <vt:lpstr>Cronograma</vt:lpstr>
      <vt:lpstr>Proyectos 2022</vt:lpstr>
      <vt:lpstr>Consolidado</vt:lpstr>
      <vt:lpstr>Reorganización</vt:lpstr>
      <vt:lpstr>Listado</vt:lpstr>
      <vt:lpstr>Facturas!Área_de_impresión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Diego Valderrama Pumallihua</cp:lastModifiedBy>
  <cp:lastPrinted>2022-10-19T21:45:50Z</cp:lastPrinted>
  <dcterms:created xsi:type="dcterms:W3CDTF">2022-07-26T01:24:44Z</dcterms:created>
  <dcterms:modified xsi:type="dcterms:W3CDTF">2023-11-16T15:56:13Z</dcterms:modified>
</cp:coreProperties>
</file>