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HP\Documents\ALEX VIDAL\02 CURSOS ULIMA\01 GESTION CADENA DE SUMINISTROS\GCS 2023-2\SEMANA 3\"/>
    </mc:Choice>
  </mc:AlternateContent>
  <xr:revisionPtr revIDLastSave="0" documentId="13_ncr:1_{EBDFC5D6-049F-4610-B583-660B9579081A}" xr6:coauthVersionLast="47" xr6:coauthVersionMax="47" xr10:uidLastSave="{00000000-0000-0000-0000-000000000000}"/>
  <bookViews>
    <workbookView xWindow="-120" yWindow="-120" windowWidth="20730" windowHeight="11160" tabRatio="891" firstSheet="3" activeTab="12" xr2:uid="{A7462B61-8D4B-4785-84A8-52D3FF797D88}"/>
  </bookViews>
  <sheets>
    <sheet name="TEORIA 1" sheetId="1" r:id="rId1"/>
    <sheet name="TEORIA 2" sheetId="2" r:id="rId2"/>
    <sheet name="TEORIA 3" sheetId="6" r:id="rId3"/>
    <sheet name="EJEMPLO" sheetId="22" r:id="rId4"/>
    <sheet name="PREG 1" sheetId="7" r:id="rId5"/>
    <sheet name="PREG 2" sheetId="5" r:id="rId6"/>
    <sheet name="PREG 3" sheetId="8" r:id="rId7"/>
    <sheet name="PREG 4" sheetId="11" r:id="rId8"/>
    <sheet name="PREG 5" sheetId="12" r:id="rId9"/>
    <sheet name="PREG 6" sheetId="3" r:id="rId10"/>
    <sheet name="PREG 7" sheetId="16" r:id="rId11"/>
    <sheet name="PREG 8" sheetId="13" r:id="rId12"/>
    <sheet name="PREG 9" sheetId="14" r:id="rId13"/>
    <sheet name="PREG 10" sheetId="15" r:id="rId14"/>
    <sheet name="PREG 11" sheetId="17" r:id="rId15"/>
    <sheet name="PREG 12" sheetId="18" r:id="rId16"/>
    <sheet name="PREG 13" sheetId="19" r:id="rId17"/>
    <sheet name="PREG 14" sheetId="20" r:id="rId18"/>
    <sheet name="EJEMPLO DESV_EST" sheetId="4" r:id="rId19"/>
    <sheet name="Hoja1" sheetId="21"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 i="14" l="1"/>
  <c r="H39" i="14"/>
  <c r="L25" i="19"/>
  <c r="H28" i="19" s="1"/>
  <c r="H29" i="19"/>
  <c r="H27" i="19"/>
  <c r="H22" i="19"/>
  <c r="H37" i="18"/>
  <c r="H35" i="18"/>
  <c r="H34" i="18"/>
  <c r="H32" i="18"/>
  <c r="H28" i="18"/>
  <c r="H25" i="18"/>
  <c r="H24" i="18"/>
  <c r="H17" i="18"/>
  <c r="G35" i="15"/>
  <c r="G23" i="13" l="1"/>
  <c r="G22" i="13"/>
  <c r="G21" i="13"/>
  <c r="G16" i="13"/>
  <c r="J15" i="13"/>
  <c r="M24" i="16"/>
  <c r="N22" i="16"/>
  <c r="M23" i="16"/>
  <c r="C20" i="16" s="1"/>
  <c r="J18" i="16"/>
  <c r="N21" i="16"/>
  <c r="E17" i="16"/>
  <c r="C17" i="16"/>
  <c r="C15" i="16"/>
  <c r="J22" i="12"/>
  <c r="M42" i="11"/>
  <c r="M40" i="11"/>
  <c r="M38" i="11"/>
  <c r="G47" i="5"/>
  <c r="G38" i="22" l="1"/>
  <c r="F35" i="22"/>
  <c r="I46" i="5"/>
  <c r="I45" i="5"/>
  <c r="J37" i="5"/>
  <c r="G24" i="5"/>
  <c r="K29" i="12" l="1"/>
  <c r="K32" i="12" s="1"/>
  <c r="J27" i="12"/>
  <c r="K30" i="12"/>
  <c r="C21" i="12"/>
  <c r="J23" i="12"/>
  <c r="J25" i="12"/>
  <c r="L17" i="19"/>
  <c r="H23" i="19"/>
  <c r="H20" i="19"/>
  <c r="G22" i="5"/>
  <c r="M36" i="5"/>
  <c r="M35" i="5"/>
  <c r="K35" i="5"/>
  <c r="C35" i="5"/>
  <c r="B35" i="5"/>
  <c r="J35" i="5"/>
  <c r="G35" i="5"/>
  <c r="N26" i="8"/>
  <c r="F29" i="3"/>
  <c r="F31" i="3" s="1"/>
  <c r="I16" i="13"/>
  <c r="H18" i="19"/>
  <c r="G25" i="13"/>
  <c r="G30" i="13"/>
  <c r="J24" i="12"/>
  <c r="C22" i="12"/>
  <c r="J57" i="22"/>
  <c r="J55" i="22"/>
  <c r="J42" i="22" l="1"/>
  <c r="F44" i="22" s="1"/>
  <c r="F40" i="22"/>
  <c r="F49" i="22" s="1"/>
  <c r="I36" i="22"/>
  <c r="F46" i="22" l="1"/>
  <c r="J56" i="22" s="1"/>
  <c r="J58" i="22" s="1"/>
  <c r="F25" i="15" l="1"/>
  <c r="H22" i="18"/>
  <c r="E37" i="3"/>
  <c r="H23" i="14" l="1"/>
  <c r="G38" i="13"/>
  <c r="F19" i="8"/>
  <c r="C25" i="16" l="1"/>
  <c r="C23" i="16"/>
  <c r="N20" i="16"/>
  <c r="G37" i="15"/>
  <c r="G36" i="15"/>
  <c r="F27" i="15"/>
  <c r="N24" i="15"/>
  <c r="N23" i="15"/>
  <c r="H41" i="14"/>
  <c r="H36" i="14"/>
  <c r="H34" i="14"/>
  <c r="L32" i="14"/>
  <c r="H28" i="14"/>
  <c r="H27" i="14"/>
  <c r="H26" i="14"/>
  <c r="K22" i="14"/>
  <c r="K21" i="14"/>
  <c r="H21" i="14"/>
  <c r="G34" i="13"/>
  <c r="G28" i="13"/>
  <c r="G26" i="13"/>
  <c r="G32" i="13"/>
  <c r="G39" i="13" s="1"/>
  <c r="G49" i="11"/>
  <c r="G48" i="11"/>
  <c r="G47" i="11"/>
  <c r="G29" i="11"/>
  <c r="G44" i="11"/>
  <c r="G42" i="11"/>
  <c r="K40" i="11"/>
  <c r="K38" i="11"/>
  <c r="M36" i="11"/>
  <c r="G40" i="11"/>
  <c r="N26" i="7" l="1"/>
  <c r="G5" i="2"/>
  <c r="H28" i="20" l="1"/>
  <c r="H16" i="20"/>
  <c r="L15" i="20"/>
  <c r="H16" i="19"/>
  <c r="L15" i="19"/>
  <c r="L15" i="18"/>
  <c r="H11" i="17"/>
  <c r="E28" i="16"/>
  <c r="C10" i="16"/>
  <c r="C12" i="16"/>
  <c r="C11" i="16"/>
  <c r="F30" i="15"/>
  <c r="C28" i="15"/>
  <c r="C26" i="15"/>
  <c r="N26" i="15"/>
  <c r="L18" i="15"/>
  <c r="L20" i="15" s="1"/>
  <c r="L16" i="15"/>
  <c r="L13" i="15"/>
  <c r="L10" i="15"/>
  <c r="H31" i="14"/>
  <c r="H32" i="14" s="1"/>
  <c r="H29" i="14"/>
  <c r="J13" i="14"/>
  <c r="G29" i="13"/>
  <c r="G18" i="13"/>
  <c r="K36" i="11"/>
  <c r="D37" i="11" s="1"/>
  <c r="F22" i="7"/>
  <c r="F24" i="7" s="1"/>
  <c r="F18" i="7"/>
  <c r="C22" i="5"/>
  <c r="D42" i="1"/>
  <c r="D40" i="1"/>
  <c r="D35" i="1"/>
  <c r="D32" i="1"/>
  <c r="F23" i="8"/>
  <c r="F25" i="8" s="1"/>
  <c r="C22" i="8"/>
  <c r="C21" i="8"/>
  <c r="C20" i="8"/>
  <c r="C19" i="8"/>
  <c r="C19" i="7"/>
  <c r="C18" i="7"/>
  <c r="F27" i="6"/>
  <c r="D25" i="6"/>
  <c r="D21" i="6"/>
  <c r="C26" i="5"/>
  <c r="G37" i="5"/>
  <c r="E19" i="19" l="1"/>
  <c r="H20" i="20"/>
  <c r="H22" i="20" s="1"/>
  <c r="H23" i="20" s="1"/>
  <c r="H26" i="20" s="1"/>
  <c r="E27" i="16"/>
  <c r="C25" i="15"/>
  <c r="E19" i="15"/>
  <c r="F22" i="12"/>
  <c r="G45" i="5"/>
  <c r="F27" i="8"/>
  <c r="K19" i="8"/>
  <c r="K21" i="8"/>
  <c r="F26" i="7"/>
  <c r="K18" i="7"/>
  <c r="G21" i="6"/>
  <c r="G41" i="5"/>
  <c r="L26" i="19" l="1"/>
  <c r="E21" i="19"/>
  <c r="L21" i="19" s="1"/>
  <c r="E29" i="16"/>
  <c r="E30" i="16" s="1"/>
  <c r="H32" i="20"/>
  <c r="G38" i="15"/>
  <c r="F32" i="15"/>
  <c r="H40" i="14"/>
  <c r="G41" i="13"/>
  <c r="G32" i="12"/>
  <c r="H41" i="12"/>
  <c r="G26" i="5"/>
  <c r="K20" i="8"/>
  <c r="N25" i="8"/>
  <c r="N27" i="8"/>
  <c r="K20" i="7"/>
  <c r="N25" i="7" s="1"/>
  <c r="N24" i="7"/>
  <c r="K19" i="7"/>
  <c r="G22" i="6"/>
  <c r="G40" i="6"/>
  <c r="G39" i="5"/>
  <c r="G46" i="5" s="1"/>
  <c r="I48" i="5" s="1"/>
  <c r="L23" i="19" l="1"/>
  <c r="H30" i="19"/>
  <c r="N28" i="8"/>
  <c r="H42" i="14"/>
  <c r="N27" i="7"/>
  <c r="G48" i="5"/>
  <c r="H27" i="6"/>
  <c r="G29" i="6" s="1"/>
  <c r="H43" i="12" l="1"/>
  <c r="G50" i="11"/>
  <c r="D31" i="6"/>
  <c r="G42" i="6"/>
  <c r="G34" i="12" l="1"/>
  <c r="G36" i="12"/>
  <c r="H42" i="12" s="1"/>
  <c r="H44" i="12" s="1"/>
  <c r="G38" i="12"/>
  <c r="D33" i="6"/>
  <c r="G41" i="6" s="1"/>
  <c r="G43" i="6" s="1"/>
  <c r="D35" i="6"/>
  <c r="F33" i="3" l="1"/>
  <c r="F21" i="3" l="1"/>
  <c r="F19" i="3"/>
  <c r="C22" i="3"/>
  <c r="C21" i="3"/>
  <c r="C20" i="3"/>
  <c r="C19" i="3"/>
  <c r="G64" i="2"/>
  <c r="G63" i="2"/>
  <c r="G35" i="2"/>
  <c r="G37" i="2"/>
  <c r="G40" i="2" s="1"/>
  <c r="G62" i="2" s="1"/>
  <c r="G61" i="2"/>
  <c r="G34" i="2"/>
  <c r="J31" i="2"/>
  <c r="I30" i="2"/>
  <c r="I29" i="2"/>
  <c r="G23" i="2"/>
  <c r="C23" i="2"/>
  <c r="G6" i="2"/>
  <c r="F13" i="4"/>
  <c r="C13" i="4"/>
  <c r="F4" i="4"/>
  <c r="F5" i="4"/>
  <c r="F6" i="4"/>
  <c r="F7" i="4"/>
  <c r="F8" i="4"/>
  <c r="F9" i="4"/>
  <c r="F10" i="4"/>
  <c r="F11" i="4"/>
  <c r="F3" i="4"/>
  <c r="E41" i="3" l="1"/>
  <c r="G42" i="2"/>
  <c r="D38" i="1"/>
  <c r="L29" i="1" l="1"/>
  <c r="L30" i="1" l="1"/>
  <c r="D29" i="1"/>
  <c r="H40" i="1" l="1"/>
  <c r="K40" i="1" s="1"/>
  <c r="H38" i="1"/>
  <c r="D54" i="1" s="1"/>
  <c r="D52" i="1"/>
  <c r="D56" i="1" l="1"/>
</calcChain>
</file>

<file path=xl/sharedStrings.xml><?xml version="1.0" encoding="utf-8"?>
<sst xmlns="http://schemas.openxmlformats.org/spreadsheetml/2006/main" count="903" uniqueCount="382">
  <si>
    <t>Un gran almacén distribuye una cera especial para automóviles en galones cuyo costo es de $40 por unidad; actualmente el producto lo distribuye entre 4 autoservicios ubicados en Lima metropolitana; las cantidades promedio que abastece y la desviación estándar de dicha demanda se muestra a continuación:</t>
  </si>
  <si>
    <t>Cliente</t>
  </si>
  <si>
    <t>Demanda Promedio en galones/mes</t>
  </si>
  <si>
    <t>Desv. Estándar de la demanda, en galones/mes</t>
  </si>
  <si>
    <t>SOLUCIÓN:</t>
  </si>
  <si>
    <t>DISTRIBUIDOR</t>
  </si>
  <si>
    <t>CLIENTE 1</t>
  </si>
  <si>
    <t>CLIENTE 2</t>
  </si>
  <si>
    <t>CLIENTE 3</t>
  </si>
  <si>
    <t>CLIENTE 4</t>
  </si>
  <si>
    <t>PROVEEDOR (BRASIL)</t>
  </si>
  <si>
    <t xml:space="preserve">C = </t>
  </si>
  <si>
    <t xml:space="preserve">I = </t>
  </si>
  <si>
    <t xml:space="preserve">S = </t>
  </si>
  <si>
    <t xml:space="preserve">TE = </t>
  </si>
  <si>
    <t>SEMANAS</t>
  </si>
  <si>
    <t>Z (98%)</t>
  </si>
  <si>
    <t xml:space="preserve">Z (95%) = </t>
  </si>
  <si>
    <t xml:space="preserve">TAMAÑO DE LOTE ACTUAL = </t>
  </si>
  <si>
    <t>CUÁL ES EL TAMAÑO DE LOTE ÓPTIMO QUE MINIMIZA LOS COSTOS LOGÍSTICOS?</t>
  </si>
  <si>
    <t>VTAXMES</t>
  </si>
  <si>
    <t>DESV_ESTANDAR</t>
  </si>
  <si>
    <t xml:space="preserve">VTA TOTAL X MES = </t>
  </si>
  <si>
    <t>Almacén</t>
  </si>
  <si>
    <t>Demanda  (kg/mes)</t>
  </si>
  <si>
    <t>Desv. estándar (kilos/mes)</t>
  </si>
  <si>
    <t>Cono Norte</t>
  </si>
  <si>
    <t>Cono Sur</t>
  </si>
  <si>
    <t>Costo en el almacén de ARCO SAC: S/. 140/millar de bolsas plásticas</t>
  </si>
  <si>
    <t>Costo de bolsa con arroz en el almacén de ARCO SAC: S/. 2,65</t>
  </si>
  <si>
    <t>Costo de pedir un lote de bolsas plásticas: S/. 75</t>
  </si>
  <si>
    <t>Costo mantener en inventario las bolsas plásticas: 2,5% mensual</t>
  </si>
  <si>
    <t>Costo por falta de existencia: S/. 1.50 por bolsa plástica</t>
  </si>
  <si>
    <t>Nivel de servicio deseable: 95%</t>
  </si>
  <si>
    <t>1. Calcular las reglas de Políticas de Inventario con el modelo de Lote Económico y Punto de Reorden (reposición instantánea). Lote Económico, SS, PRO e Invent. Promedio (bolsas)</t>
  </si>
  <si>
    <t>2. Costo total anual pertinente para el abastecimiento de bolsas plásticas.</t>
  </si>
  <si>
    <t xml:space="preserve">La empresa ARIETE S.A. desea diseñar un sistema de control de inventarios para su producto Arco y flecha. Se ha recopilado información sobre el artículo: </t>
  </si>
  <si>
    <t>Pronóstico de la demanda diaria, en unidades</t>
  </si>
  <si>
    <t xml:space="preserve">Desviación estándar de la demanda diaria                       </t>
  </si>
  <si>
    <t>Tiempo de entrega del proveedor (LT) en días</t>
  </si>
  <si>
    <t>Error de tiempo de entrega en días</t>
  </si>
  <si>
    <t>Precio de compra en $/unidad</t>
  </si>
  <si>
    <t>Probabilidad de tener existencias durante el tiempo de entrega</t>
  </si>
  <si>
    <t>Costo de falta de existencias $/unid.</t>
  </si>
  <si>
    <t>Costo de manejo del inventario (i) por año</t>
  </si>
  <si>
    <t>Costo de pedir un lote, en $/pedido</t>
  </si>
  <si>
    <t>Considerar un año igual a 52 semanas y 365 días por año.</t>
  </si>
  <si>
    <t>Diseñe los parámetros para el sistema de revisión periódica: To, SS, M, Inventario promedio.</t>
  </si>
  <si>
    <t>Determine el costo anual de ruptura de stock, que puede esperarse en el sistema de Revisión Periódica.</t>
  </si>
  <si>
    <t xml:space="preserve">Q = </t>
  </si>
  <si>
    <t>GAL</t>
  </si>
  <si>
    <t xml:space="preserve">D = </t>
  </si>
  <si>
    <t xml:space="preserve">DESV_DEM= </t>
  </si>
  <si>
    <t>(CALCULADA EN ESPACIOS DE TIEMPO MESES)</t>
  </si>
  <si>
    <t>ASUMIMOS UN MES = 4 SEMANAS</t>
  </si>
  <si>
    <t>DESV_AJUS =</t>
  </si>
  <si>
    <t xml:space="preserve">SS = </t>
  </si>
  <si>
    <t xml:space="preserve">INV_PROM = </t>
  </si>
  <si>
    <t xml:space="preserve">INV_MAXIMO = </t>
  </si>
  <si>
    <t xml:space="preserve">T = </t>
  </si>
  <si>
    <t>AÑOS</t>
  </si>
  <si>
    <t>DÍAS</t>
  </si>
  <si>
    <t>COSTO TOTAL LOGÍSTICO = COSTO DE REALIZAR PEDIDOS + COSTO DE ALMACENAMIENTO</t>
  </si>
  <si>
    <t>COST_PED =</t>
  </si>
  <si>
    <t xml:space="preserve">COST_ALM = </t>
  </si>
  <si>
    <t xml:space="preserve">CTL = </t>
  </si>
  <si>
    <t>BICICLETAS</t>
  </si>
  <si>
    <t xml:space="preserve">DESV_EST = </t>
  </si>
  <si>
    <t>NEUMÁTICOS DE BICICLETA</t>
  </si>
  <si>
    <t>ES EL DOBLE</t>
  </si>
  <si>
    <t>Desv. estándar (BOLSAS/mes)</t>
  </si>
  <si>
    <t>D =</t>
  </si>
  <si>
    <t>BOLSAS</t>
  </si>
  <si>
    <t>BOLSAS PLASTICAS</t>
  </si>
  <si>
    <t>ANUAL</t>
  </si>
  <si>
    <t>UND</t>
  </si>
  <si>
    <t>UND DE BOLSA</t>
  </si>
  <si>
    <t xml:space="preserve">PRO = </t>
  </si>
  <si>
    <t>INTERPRETACIÓN DEL MODELO:</t>
  </si>
  <si>
    <t>ESTO SUCEDE SEGÚN EL MODELO CADA 13 DÍAS. EN ESTE CASO OCURRE QUE EL TE &gt; T Y POR ESO PARECE QUE NUNCA LLEGAREMOS AL PRO</t>
  </si>
  <si>
    <t>UNA PREGUNTA INTERESANTE SERÍA SABER CUANTO SE AHORRA ENTRE EL MODELO ACTUAL Y NUEVO MODELO DE PUNTO DE REORDEN CON LOTE ECONÓMICO. HAGANLO</t>
  </si>
  <si>
    <t>STOCK DE SEGURIDAD</t>
  </si>
  <si>
    <t>ARCO SAC</t>
  </si>
  <si>
    <t xml:space="preserve">DESV_TE = </t>
  </si>
  <si>
    <t>SEMANA</t>
  </si>
  <si>
    <t>La empresa trabaja seis días por semana, un turno por día, 8 horas por turno y cuatro semanas por mes.</t>
  </si>
  <si>
    <t>DATO:</t>
  </si>
  <si>
    <t>(CALCULADA EN 4 SEMANAS)</t>
  </si>
  <si>
    <t>HAY QUE PASARLO A 1 SEMANA</t>
  </si>
  <si>
    <t xml:space="preserve">Z(95%) = </t>
  </si>
  <si>
    <t xml:space="preserve">DÍAS DEL AÑO = </t>
  </si>
  <si>
    <t>INVENTARIO PROMEDIO Y PUNTO DE REORDEN</t>
  </si>
  <si>
    <t>COSTO DE REALIZAR PEDIDOS ANUAL</t>
  </si>
  <si>
    <t>COSTO DE ALMACENAMIENTO ANUAL</t>
  </si>
  <si>
    <t>COSTO POR FALTA DE EXISTENCIAS</t>
  </si>
  <si>
    <t>COSTO TOTAL PERTINENTE</t>
  </si>
  <si>
    <t xml:space="preserve">DESV_EST_AJUST = </t>
  </si>
  <si>
    <t>ES UN DATO, HAY UNA SOLA RESPUESTA. NO EQUIVOCARSE. EN CLASE NO LO CONSIDERAMOS Y OBTUVIMOS OTRA RESPUESTA</t>
  </si>
  <si>
    <t>ARIETE</t>
  </si>
  <si>
    <t>UND DIARIA</t>
  </si>
  <si>
    <t>DESV_DEMANDA</t>
  </si>
  <si>
    <t xml:space="preserve">M = </t>
  </si>
  <si>
    <t>UTILIZANDO T = 2</t>
  </si>
  <si>
    <t>COSTO DE ROTURA DE STOCK O COSTO POR FALTA DE EXISTENCIAS</t>
  </si>
  <si>
    <t xml:space="preserve">COSTO_EXIST = </t>
  </si>
  <si>
    <t>STOCK MAXIMO</t>
  </si>
  <si>
    <t>SE APLICA SOLO PARA CONVERTIR DESVIACIÓN DE DEMANDA AL TIEMPO DE ENTREGA</t>
  </si>
  <si>
    <t>PTx</t>
  </si>
  <si>
    <t>MP -&gt; 4,55 KG</t>
  </si>
  <si>
    <t>ACME distribuye  Amoxilina, que es un producto que no puede faltar en el inventario de todos los locales de venta. Se han reunido los siguientes datos:</t>
  </si>
  <si>
    <t>Pronóstico de la demanda mensual</t>
  </si>
  <si>
    <t>Desviación estándar del pronóstico mensual</t>
  </si>
  <si>
    <t>25 cajas</t>
  </si>
  <si>
    <t>Tiempo total de reaprovisionamiento, TE</t>
  </si>
  <si>
    <t>15 días</t>
  </si>
  <si>
    <t>Desviación del tiempo de reaprovisionamiento</t>
  </si>
  <si>
    <t>5 días</t>
  </si>
  <si>
    <t>Costo por procesamiento del pedido al proveedor, S</t>
  </si>
  <si>
    <t>$125 / pedido</t>
  </si>
  <si>
    <t>Costo por manejo de inventario, I</t>
  </si>
  <si>
    <t>25% / año</t>
  </si>
  <si>
    <t>Costo por falta de existencias, k</t>
  </si>
  <si>
    <t>$0.15 /unidad</t>
  </si>
  <si>
    <t>Considerar que el costo de mantener en el inventario 100 cajas durante un año es equivalente a $612,50 y que la probabilidad de existencias durante el tiempo de entrega es 90%. Considerar también que un año tiene 365 días y un mes 30 días. Se pide:</t>
  </si>
  <si>
    <t>Determine el nivel promedio de inventario</t>
  </si>
  <si>
    <t>Determine el costo total pertinente</t>
  </si>
  <si>
    <t>SOLUCIÓN</t>
  </si>
  <si>
    <t>CAJAS</t>
  </si>
  <si>
    <t>0,25</t>
  </si>
  <si>
    <t xml:space="preserve">H = </t>
  </si>
  <si>
    <t xml:space="preserve">N = </t>
  </si>
  <si>
    <t>VECES AL AÑO</t>
  </si>
  <si>
    <t>ACME</t>
  </si>
  <si>
    <t>MENSUAL</t>
  </si>
  <si>
    <t xml:space="preserve">DESV_AJUST = </t>
  </si>
  <si>
    <t>ASUMIMOS 90% --&gt;&gt; Z (90%) = 1.28</t>
  </si>
  <si>
    <t>COSTOS LOGÍSTICOS</t>
  </si>
  <si>
    <t xml:space="preserve">K = </t>
  </si>
  <si>
    <t>COSTO DE REALIZAR PEDIDOS</t>
  </si>
  <si>
    <t>E(Z) =</t>
  </si>
  <si>
    <t>COSTO DE ALMACENAMIENTO</t>
  </si>
  <si>
    <t>COSTO TOTAL LOGISTICO</t>
  </si>
  <si>
    <t xml:space="preserve">Una compañía produce y comercializa en el Perú un motor cuya demanda anual es de 2.500 unidades con una desviación de la demanda diaria de 7,5 unidades. El componente RX se trae desde Brasil y se necesitan 4 unidades por cada motor. El costo anual de mantener 500 unidades del componente RX en el inventario es de $ 1500. Se tiene la siguiente información del componente RX: </t>
  </si>
  <si>
    <t>Costo de hacer un pedido</t>
  </si>
  <si>
    <t>$ 380</t>
  </si>
  <si>
    <t>Tiempo de reposición</t>
  </si>
  <si>
    <t>Desviación del tiempo de reposición</t>
  </si>
  <si>
    <t>3 días</t>
  </si>
  <si>
    <t>Probabilidad de tener el producto en existencia</t>
  </si>
  <si>
    <t>Costo de rotura de inventario</t>
  </si>
  <si>
    <t>$2 por unidad</t>
  </si>
  <si>
    <t>Determine las políticas de reposición de Q° y T°</t>
  </si>
  <si>
    <t xml:space="preserve">Determine el stock de seguridad del reactivo RX </t>
  </si>
  <si>
    <t>Determine el valor del inventario máximo M°</t>
  </si>
  <si>
    <t>Calcule el costo total pertinente</t>
  </si>
  <si>
    <t>TAMAÑO DE LOTE</t>
  </si>
  <si>
    <t>MODELO DE REVISIÓN PERIÓDICA</t>
  </si>
  <si>
    <t>RX</t>
  </si>
  <si>
    <t>resultado de multiplicar 4 piezas del motor</t>
  </si>
  <si>
    <t xml:space="preserve">DESV_DEM = </t>
  </si>
  <si>
    <t>desviación diaria</t>
  </si>
  <si>
    <t>recordar  (T+TE)</t>
  </si>
  <si>
    <t xml:space="preserve">DESV_AJUS = </t>
  </si>
  <si>
    <t>EN ESTA FORMULA D y T TIENEN QUE ESTAR</t>
  </si>
  <si>
    <t>EN LAS MISMAS UNIDADES</t>
  </si>
  <si>
    <t>D = ES DEMANDA ANUAL</t>
  </si>
  <si>
    <t>T = ES TIEMPO ANUAL</t>
  </si>
  <si>
    <t>ABC distribuye un artículo conocido como barra separadora, que es un perno en forma de U usado en equipos para camiones. Se han reunido los siguientes datos de este artículo mantenido en inventario:</t>
  </si>
  <si>
    <t>Pronóstico de la demanda mensual, d</t>
  </si>
  <si>
    <r>
      <t xml:space="preserve">Error estándar de pronóstico, </t>
    </r>
    <r>
      <rPr>
        <i/>
        <sz val="11"/>
        <color theme="1"/>
        <rFont val="Arial"/>
        <family val="2"/>
      </rPr>
      <t>s</t>
    </r>
    <r>
      <rPr>
        <i/>
        <sz val="11"/>
        <color theme="1"/>
        <rFont val="Browallia New"/>
        <family val="2"/>
        <charset val="222"/>
      </rPr>
      <t>d</t>
    </r>
  </si>
  <si>
    <t>Valor del artículo, C</t>
  </si>
  <si>
    <t>Probabilidad de existencias durante el tiempo de entrega, P</t>
  </si>
  <si>
    <t>INVENTARIO MÍNIMO (SS) =</t>
  </si>
  <si>
    <t>INVENTARIO MÁXIMO =</t>
  </si>
  <si>
    <t>Z(75%) =</t>
  </si>
  <si>
    <t>Una fábrica de zapatos vende a sus clientes que son distribuidores en todo el país con las siguientes características:</t>
  </si>
  <si>
    <t>Demanda promedio mensual</t>
  </si>
  <si>
    <t>Error estándar de pronóstico</t>
  </si>
  <si>
    <t>Tiempo de entrega de reaprovisionamiento</t>
  </si>
  <si>
    <t>Costo de Manejo</t>
  </si>
  <si>
    <t>Precio de compra, entregado</t>
  </si>
  <si>
    <t>Costo de adquisición de pedido</t>
  </si>
  <si>
    <t>Probabilidad de existencias durante el tiempo de entrega</t>
  </si>
  <si>
    <t>a.	Diseñe un método de control de punto de reorden para este artículo.</t>
  </si>
  <si>
    <t>Almacén de distribución</t>
  </si>
  <si>
    <t>Demanda Promedio en galones/Mes</t>
  </si>
  <si>
    <t>Desviación Estándar de la Demanda en galones/Mes</t>
  </si>
  <si>
    <t>Iquitos</t>
  </si>
  <si>
    <t>Moquegua</t>
  </si>
  <si>
    <t>Trujillo</t>
  </si>
  <si>
    <t>Costo de colocar un pedido a la fábrica</t>
  </si>
  <si>
    <t>$ 100</t>
  </si>
  <si>
    <t>Costo de mantener el inventario en cualquier almacén</t>
  </si>
  <si>
    <t>30% / año</t>
  </si>
  <si>
    <t>Tiempo promedio de reabastecimiento</t>
  </si>
  <si>
    <t>20 días</t>
  </si>
  <si>
    <t>Desviación del tiempo promedio de reabastecimiento</t>
  </si>
  <si>
    <t>Probabilidad de tener el producto en existencias</t>
  </si>
  <si>
    <t>Costo de ruptura de stock (Falta de existencia)</t>
  </si>
  <si>
    <t>$10/gl.</t>
  </si>
  <si>
    <t>Considerar un año de 360 días y 1 mes de 30 días</t>
  </si>
  <si>
    <t>IQUITOS</t>
  </si>
  <si>
    <t>GAL / MES</t>
  </si>
  <si>
    <t>QUÍMICA PERUANA EIRL</t>
  </si>
  <si>
    <t>MOQUEGUA</t>
  </si>
  <si>
    <t>TRUJILLO</t>
  </si>
  <si>
    <t xml:space="preserve">D_MES = </t>
  </si>
  <si>
    <t xml:space="preserve">DES_AJUST = </t>
  </si>
  <si>
    <t xml:space="preserve">E(Z) = </t>
  </si>
  <si>
    <t>GALON</t>
  </si>
  <si>
    <t>Período</t>
  </si>
  <si>
    <t>Trimestre 1</t>
  </si>
  <si>
    <t>Trimestre 2</t>
  </si>
  <si>
    <t>Trimestre 3</t>
  </si>
  <si>
    <t>Trimestre 4</t>
  </si>
  <si>
    <t>Unidades</t>
  </si>
  <si>
    <t>Y la performance de su proveedor de envases plásticos es como sigue</t>
  </si>
  <si>
    <t>N° 2825</t>
  </si>
  <si>
    <t>N° 2932</t>
  </si>
  <si>
    <t>N° 3005</t>
  </si>
  <si>
    <t>N° 3150</t>
  </si>
  <si>
    <t>N° 3220</t>
  </si>
  <si>
    <t>N° 3520</t>
  </si>
  <si>
    <t>Cada millar de envases de mantequilla tiene un costo de US$85, emitir una orden de compra tiene un costo de $150, almacenar los envases vacíos tiene un costo anual de 20% del valor de los envases y la empresa desea mantener un nivel de servicio de 98%. No entregar a tiempo un envase tiene un costo de escasez de 0.02 $/unidad. 
Considerar 90 días en cada trimestre.</t>
  </si>
  <si>
    <t>b)	Calcule el costo logístico total pertinente anual para el abastecimiento de envases de mantequilla.</t>
  </si>
  <si>
    <t>90 DÍAS</t>
  </si>
  <si>
    <t>(*) SUMAMOS (T + TE)</t>
  </si>
  <si>
    <t>CALCULO DEL STOCK DE SEGURIDAD</t>
  </si>
  <si>
    <t xml:space="preserve">Z (98%) = </t>
  </si>
  <si>
    <t xml:space="preserve">INVENTARIO MÁXIMO = </t>
  </si>
  <si>
    <t xml:space="preserve">INVENT_ PROMEDIO = </t>
  </si>
  <si>
    <t>DESV_ESTANDAR_MES</t>
  </si>
  <si>
    <t>El manejo de inventarios se estima en 20% anual y el costo de colocar el pedido de importación desde Brasil es de $200 por pedido y el Lead Time para reabastecerse es de 6 semanas. Los clientes fijan sus probabilidades de tener las existencias durante el ciclo de pedido en 98%, en tanto que el distribuidor usa el 95%. El distribuidor actualmente coloca los pedidos de 4000 galones para conseguir un descuento de compra.
Determine cuál será el inventario promedio que almacenaría a fin de optimizar sus costos. Inventario máximo. Punto de reorden y Costo Total Logístico.</t>
  </si>
  <si>
    <t>CADA VEZ QUE EL INVENTARIO LLEGA AL PUNTO DE REORDEN (4815 GAL), COLOCAMOS UNA ORDEN DE COMPRA O/C DE 1346 GAL</t>
  </si>
  <si>
    <t>AL PROVEEDOR DE BRASIL</t>
  </si>
  <si>
    <t>LA EXPLICACIÓN ES QUE EXISTEN VARIAS O/C EN CAMINO (TRANSITO) QUE SI LOS CONSIDERAMOS COMO INVENTARIO,</t>
  </si>
  <si>
    <t>SE CUMPLE EL MODELO GRÁFICO</t>
  </si>
  <si>
    <t>1380 cajas</t>
  </si>
  <si>
    <t>Determine las políticas de reposición (Q, T y PRO)</t>
  </si>
  <si>
    <t xml:space="preserve">ESTA TABLA SIEMPRE SERÁ UN DATO PARA ESCOGER EL VALOR DE Z Y DE E(Z) </t>
  </si>
  <si>
    <t>La empresa ARCO SAC, embolsa y distribuye arroz, a través de sus dos almacenes ubicados en los conos Norte y Sur, cada bolsa de arroz tiene un peso neto de 0,85 kg. La demanda mensual en kilos que recibe de sus dos almacenes se muestra a continuación:</t>
  </si>
  <si>
    <r>
      <t xml:space="preserve">La empresa trabaja seis días por semana, un turno por día, 8 horas por turno y </t>
    </r>
    <r>
      <rPr>
        <b/>
        <sz val="12"/>
        <color theme="1"/>
        <rFont val="Calibri"/>
        <family val="2"/>
        <scheme val="minor"/>
      </rPr>
      <t>cuatro semanas por mes</t>
    </r>
    <r>
      <rPr>
        <sz val="12"/>
        <color theme="1"/>
        <rFont val="Calibri"/>
        <family val="2"/>
        <scheme val="minor"/>
      </rPr>
      <t>. El proveedor ROCA abastece a la empresa ARCO SAC de bolsas de plástico para embolsar el producto; el tiempo de atención del pedido (LT) es de una semana y desviación del tiempo de 0,7 días.
Se tienen los siguientes datos:</t>
    </r>
  </si>
  <si>
    <t>Calcular sus parámetros de inventario con el modelo de punto de reorden con lote económico. Tamaño de lote económico Q, Stock de Seguridad SS, Inventario Promedio IP, Punto de reorden PRO y Costo Total Logístico CTL</t>
  </si>
  <si>
    <t>und</t>
  </si>
  <si>
    <t>mes</t>
  </si>
  <si>
    <t>x lote</t>
  </si>
  <si>
    <t>año</t>
  </si>
  <si>
    <t>x und</t>
  </si>
  <si>
    <t>anual</t>
  </si>
  <si>
    <t>x pedido</t>
  </si>
  <si>
    <t>b. Calcular el Costo Total Pertinente sabiendo que K = 0.25</t>
  </si>
  <si>
    <t>QUÍMICA PERUANA comercializa un novedoso plaguicida para el sector agrícola del país, que no tiene impacto ambiental significativo. El producto se distribuye a través de 03 locales de venta ubicados en Iquitos, Moquegua y Trujillo. La demanda promedio en galones/mes que coloca cada almacén y la desviación estándar de dicha demanda se muestra en el cuadro adjunto. El valor de un galón del plaguicida en el almacén de la compañía es de $60/gl., mientras que el valor del producto en cualquiera de los almacenes de distribución $80.</t>
  </si>
  <si>
    <t>QUÍMICA PERUANA está planificando el abastecimiento del producto usando la política de revisión continua para lo cual ha reunido la siguiente información adicional:</t>
  </si>
  <si>
    <r>
      <t xml:space="preserve">a.	Determine las políticas de inventario para un modelo de </t>
    </r>
    <r>
      <rPr>
        <b/>
        <sz val="11"/>
        <color theme="1"/>
        <rFont val="Calibri"/>
        <family val="2"/>
        <scheme val="minor"/>
      </rPr>
      <t>REVISIÓN CONTINUA</t>
    </r>
    <r>
      <rPr>
        <sz val="11"/>
        <color theme="1"/>
        <rFont val="Calibri"/>
        <family val="2"/>
        <scheme val="minor"/>
      </rPr>
      <t xml:space="preserve"> para el abastecimiento del plaguicida, en el almacén de QUÍMICA PERUANA: Q, PRO, SS, IP.</t>
    </r>
  </si>
  <si>
    <t>b.	Calcular el costo total pertinente anual que tendría que afrontar QUÍMICA PERUANA EIRL, cuando aplique la política de Revisión Continua.</t>
  </si>
  <si>
    <t>Nro  O/C</t>
  </si>
  <si>
    <t>Días Entrega</t>
  </si>
  <si>
    <t>a)	Determine: el inventario máximo, el inventario mínimo, y el inventario promedio para la política del abastecimiento de envases especificada</t>
  </si>
  <si>
    <t>Considerar también que un año tiene 360 días y un mes 30 días. Aplicando la política de REVISIÓN PERIÓDICA para el reactivo RX se solicita:</t>
  </si>
  <si>
    <t xml:space="preserve">DEM_MES = </t>
  </si>
  <si>
    <t>PROV.</t>
  </si>
  <si>
    <t>QUIMOX</t>
  </si>
  <si>
    <t>ENVÍOS EN CILINDROS DE 50 KG</t>
  </si>
  <si>
    <t>COMPONENTE RX-14</t>
  </si>
  <si>
    <t>SACOS / AÑO</t>
  </si>
  <si>
    <t>KG</t>
  </si>
  <si>
    <t>x Kg</t>
  </si>
  <si>
    <t>CILINDROS</t>
  </si>
  <si>
    <t>1.-</t>
  </si>
  <si>
    <t>2.-</t>
  </si>
  <si>
    <t>3.-</t>
  </si>
  <si>
    <t>4.-</t>
  </si>
  <si>
    <t>COSTOS DE ALMACENAM. ANUAL</t>
  </si>
  <si>
    <t xml:space="preserve">C' = C + R </t>
  </si>
  <si>
    <t>HAY QUE CALCULAR EL VALOR DE C'</t>
  </si>
  <si>
    <t>CAPACIDAD EN UNA PARIHUELA = 4 CILINDROS</t>
  </si>
  <si>
    <t xml:space="preserve"># DE ENVÍOS = </t>
  </si>
  <si>
    <t>AL AÑO</t>
  </si>
  <si>
    <t>PARIHUELAS</t>
  </si>
  <si>
    <t xml:space="preserve">TARIFA = </t>
  </si>
  <si>
    <t>POR PARIHUELA</t>
  </si>
  <si>
    <t xml:space="preserve">R = </t>
  </si>
  <si>
    <t>POR CILINDRO</t>
  </si>
  <si>
    <t xml:space="preserve">C' = </t>
  </si>
  <si>
    <t xml:space="preserve">COSTO DE ALMACENAM. ANUAL = </t>
  </si>
  <si>
    <t>AUTOSERV 1</t>
  </si>
  <si>
    <t>TE = 20 DÍAS</t>
  </si>
  <si>
    <t>COLOM</t>
  </si>
  <si>
    <t>FAST</t>
  </si>
  <si>
    <t>AUTOSERV 2</t>
  </si>
  <si>
    <t>AUTOSERV 3</t>
  </si>
  <si>
    <t xml:space="preserve">DEMANDA MENSUAL = </t>
  </si>
  <si>
    <t xml:space="preserve">E(Z)  = </t>
  </si>
  <si>
    <t>COSTO TOTAL LOGÍSTICO OPTIMIZADO</t>
  </si>
  <si>
    <t>30 DÍAS</t>
  </si>
  <si>
    <t xml:space="preserve">COSTO DE PEDIR = </t>
  </si>
  <si>
    <t xml:space="preserve">COSTO ALMACENAM = </t>
  </si>
  <si>
    <t xml:space="preserve">COSTO POR FALTA DE EXISTENCIAS = </t>
  </si>
  <si>
    <t xml:space="preserve">COSTO TOTAL LOGISTICO = </t>
  </si>
  <si>
    <t>PROVEEDOR</t>
  </si>
  <si>
    <t>ACME ALMACEN (AREQUIPA)</t>
  </si>
  <si>
    <t xml:space="preserve">PROMEDIO = </t>
  </si>
  <si>
    <t>DISPONIBILIDAD ASEGURADA</t>
  </si>
  <si>
    <t xml:space="preserve">Z(98%) = </t>
  </si>
  <si>
    <t>MAXI es un autoservicio que está utilizando el modelo de revisión periódica para las compras de algunos de sus productos que vende en su local. Uno de estos productos son las conservas de durazno en almibar y realiza las compras de su proveedor cada 30 días. El stock máximo asignado a este producto son 2 ubicaciones en el almacén equivalentes a 2 parihuelas que tienen una capacidad de 20 cajas en cada parihuela y 24 unidades de conservas de durazno en cada caja. MAXI realiza las compras en cajas a su proveedor y justo hoy han transcurrido los 30 días para la revisón del inventario segun el modelo de revisión periódica, actualmente tiene en el inventario 12 cajas de este producto. Cuanto debe ser la cantidad de la orden de compra que le toca realizar a su proveedor.</t>
  </si>
  <si>
    <t xml:space="preserve">STOCK MÁXIMO (2 PARIHUELAS DE 20 CAJAS) = </t>
  </si>
  <si>
    <t xml:space="preserve">NIVEL DE INVENTARIO ACUTAL EN EL ALMACÉN = </t>
  </si>
  <si>
    <t xml:space="preserve">CANTIDAD DE ORDEN DE COMPRA = </t>
  </si>
  <si>
    <t>ALMACÉN CANDY</t>
  </si>
  <si>
    <t xml:space="preserve">D_DIARIA = </t>
  </si>
  <si>
    <t xml:space="preserve">DESV_DIA = </t>
  </si>
  <si>
    <t xml:space="preserve">i = </t>
  </si>
  <si>
    <t xml:space="preserve">Z (90%) = </t>
  </si>
  <si>
    <t>COMERCIAL CONTO es una compañía del sector químico de colorantes para la industria plástica, comercializa 480.000 kilos de Dióxido de Titanio al año a la industria en Perú con una variabilidad de la demanda mensual de 1.200 kilos. El Dióxido de Titanio se importa en sacos de 25 kilos desde Finlandia con un tiempo de reabastecimiento de 90 días y una variabilidad de 8,94 días. El proveedor de Finlandia requiere que el tamaño de lote sea múltiplo de una parihuela en donde se apilan 40 bolsas de 25 kilos de Dióxido de Titanio. A la empresa le cuesta S/ 140 colocar una orden de compra de importación y mantener una bolsa de 25 kilos de Dióxido de Titanio en los almacenes de Lima tiene un costo de  S/ 8  por trimestre. COMERCIAL CONTO ha decidido tener un stock de seguridad en función a la variabilidad de la demanda y del tiempo de entrega.  
El costo por rotura de stock es de S/ 0.05 por kilogramo y el nivel de servicio deseado es de 95% (z= 1.65). Considerando un mes de 30 días y un año de 360 días.
Calular el costo de almacenamiento anual utilizando el modelo de revisión periódica.</t>
  </si>
  <si>
    <t>PROV. FINLAND</t>
  </si>
  <si>
    <t>COMERCIAL CONTO</t>
  </si>
  <si>
    <t>SACOS</t>
  </si>
  <si>
    <t>DIAS</t>
  </si>
  <si>
    <t>DATO ES K = 0.05 POR KG</t>
  </si>
  <si>
    <t xml:space="preserve">COSTO X FALTA EXIST = </t>
  </si>
  <si>
    <t>COMERCIAL CONTO es una compañía del sector químico de colorantes para la industria plástica, comercializa 480.000 kilos de Dióxido de Titanio al año a la industria en Perú con una variabilidad de la demanda mensual de 1.200 kilos. El Dióxido de Titanio se importa en sacos de 25 kilos desde Finlandia con un tiempo de reabastecimiento de 90 días y una variabilidad de 8,94 días. El proveedor de Finlandia requiere que el tamaño de lote sea múltiplo de una parihuela en donde se apilan 40 bolsas de 25 kilos de Dióxido de Titanio. A la empresa le cuesta S/ 140 colocar una orden de compra de importación y mantener una bolsa de 25 kilos de Dióxido de Titanio en los almacenes de Lima tiene un costo de  S/ 8  por trimestre. COMERCIAL CONTO ha decidido tener un stock de seguridad en función a la variabilidad de la demanda y del tiempo de entrega.  
El costo por rotura de stock es de S/ 0.05 por kilogramo y el nivel de servicio deseado es de 95% (z= 1.65 y E(z) = 0.0206). Considerando un mes de 30 días y un año de 360 días.
Calular el costo por falta de existencias anual considerando el modelo de revisión periódica.</t>
  </si>
  <si>
    <t>EN UNA RELACIÓN DEPENDIENTE (LISTAS DE MATERIALES), LA DESVIACIÓN ESTÁNDAR CAMBIA PROPORCIONALMENTE</t>
  </si>
  <si>
    <r>
      <t xml:space="preserve">Una empresa manufacturera de productos lácteos ha determinado que para la compra de los envases de 250 gramos para su mantequilla RicoCream va a utilizar el modelo de </t>
    </r>
    <r>
      <rPr>
        <b/>
        <sz val="11"/>
        <color theme="1"/>
        <rFont val="Calibri"/>
        <family val="2"/>
        <scheme val="minor"/>
      </rPr>
      <t>REVISIÓN PERIÓDICA</t>
    </r>
    <r>
      <rPr>
        <sz val="11"/>
        <color theme="1"/>
        <rFont val="Calibri"/>
        <family val="2"/>
        <scheme val="minor"/>
      </rPr>
      <t>.  Ayúdela a determinar los principales parámetros de este modelo sabiendo que las ventas de mantequilla en envases de 250 gramos en el último año se han comportado de la siguiente manera:</t>
    </r>
  </si>
  <si>
    <t>CTL</t>
  </si>
  <si>
    <t>AHORRO =</t>
  </si>
  <si>
    <t>X</t>
  </si>
  <si>
    <t>COSTO = C</t>
  </si>
  <si>
    <t>K = 1.5</t>
  </si>
  <si>
    <t>DESV_ESTAND</t>
  </si>
  <si>
    <r>
      <t xml:space="preserve">QUIMOX es una compañía que produce y comercializa una resina industrial en sacos de 20 kg. Para fabricar la resina industrial es necesario el insumo químico  RX-14 que participa con 4,5 kg por cada saco de 20 kg del producto terminado. La demanda mensual de resina industrial es de 800 sacos con una desviación estándar de 50 sacos mensuales. Se necesita diseñar los parámetros para la gestión de inventarios del insumo químico RX-14 con el modelo de punto de reorden y lote económico, tiene que diseñar el tamaño del stock de seguridad considerando la variabilidad de la demanda del producto terminado y un nivel de sericio de 95% (z = 1.65). El insumo RX-14 se compra en Colombia  en cilindros de 50 kg por cilindro y el tiempo de reabastecimiento es de 15 días. </t>
    </r>
    <r>
      <rPr>
        <b/>
        <sz val="11"/>
        <color theme="1"/>
        <rFont val="Calibri"/>
        <family val="2"/>
        <scheme val="minor"/>
      </rPr>
      <t>El insumo RX-14 tiene un precio de compra de S/ 2.500 por cilindro colocado en el almacén de la planta de QUIMOX</t>
    </r>
    <r>
      <rPr>
        <sz val="11"/>
        <color theme="1"/>
        <rFont val="Calibri"/>
        <family val="2"/>
        <scheme val="minor"/>
      </rPr>
      <t>. Los cilindros  se envían sellados y completos, no existen fracción de cilindro. El costo de almacenamiento anual para QUIMOX es de 25 %, realizar una orden de compra tiene un costo de S/ 50  y el costo por falta de existencias anual es igual a S/ 455.
Un mes tiene 30 días y un año 360 días. Calcular el inventario promedio del insumo químico RX-14 en cilindros.
Calcular Q, SS, Inv. Prom, PRO (TODAS LAS RESPUESTAS EN CILINDROS) y CTP.</t>
    </r>
  </si>
  <si>
    <t>x CILINDRO (50 kg)</t>
  </si>
  <si>
    <t>UTILIZANDO LOS DATOS EN KG.</t>
  </si>
  <si>
    <t>ES UN DATO Y ES EL DATO ANUAL. CUANDO NOS DAN "K" ES POR UNIDAD… NO EL ANUAL</t>
  </si>
  <si>
    <t>AJSUTAMOS LA DESV_EST DE 30 DÍAS A 15 DÍAS</t>
  </si>
  <si>
    <t>VENTAS MENSUALES (UND)</t>
  </si>
  <si>
    <t>VTAS_MES CAJAS</t>
  </si>
  <si>
    <t>FAST distribuye una marca de aromatizador  para  hogares en latas de 0.5  litros de capacidad. La caja de 12 unidades tiene un  costo es de  S/ 489 y actualmente el producto lo importa desde Colombia y lo distribuye a 3 autoservicios ubicados en Lima. Las ventas promedio mensuales de cada autoservicio al público son  266, 351 y 260 unidades y la desviación estándar de dicha demanda es 15, 27 y 19 unidades respectivamente. Las ventas al público son en latas o unidades.
El manejo de inventarios se estima en 20 % anual y el costo de colocar el pedido de importación desde Colombia es de S/ 200 por pedido con un tiempo de reabastecimiento o tiempo de entrega  de 20 días. Los autoservicios en Lima establecen su nivel de servicio en  98% (z = 2.04) y FAST decidió utilizar un nivel de servicio de 95% (z= 1.65). FAST realiza actualmente sus compras en tamaños de lote de 400 unidades con un stock de seguridad de 100 cajas y tiene un costo por rotura de inventario K = S/ 1 x caja  con E(z) = 0.0206.  Considere un mes de 30 días y un año 360 días. Calcular Q, SS, Inv. Prom, PRO (EN CAJAS) y CTP.</t>
  </si>
  <si>
    <t>PASAMOS DE 30 A 20 DÍAS</t>
  </si>
  <si>
    <t>(*) REDONDEO ENTERO SUP.</t>
  </si>
  <si>
    <t>DEMANDA MENSUAL</t>
  </si>
  <si>
    <t>PERO NO ES NUESTRO INVENTARIO</t>
  </si>
  <si>
    <t>ALTO NIVEL DE SERVICIO /ALTOS NIVELES DE INVENTARIO</t>
  </si>
  <si>
    <t>4 SEMANAS POR MES X 12 MESES</t>
  </si>
  <si>
    <t>QUIMOX es una compañía que produce y comercializa una resina industrial en sacos de 20 kg. Para fabricar la resina industrial es necesario el insumo químico  RX-14 que participa con 4,5 kg por cada saco de 20 kg del producto terminado. La demanda mensual de resina industrial es de 800 sacos con una desviación estándar de 50 sacos mensuales. El insumo RX-14 se compra en Colombia  en cilindros de 50 kg por cilindro y el tiempo de reabastecimiento es de 15 días. El insumo RX-14 tiene un precio de compra de S/ 1.920 por cilindro colocado en el almacén del proveedor en Colombia, hay que recogerlos por medio de una compañía de transportes. El costo de realizar una orden de compra es de S/ 100. Se realizan 24 envíos durante un año y en parihuelas de capacidad de 4 cilindros por parihuela. La tarifa del transportista es  S/ 500 por parihuela. El costo de almacenamiento anual para QUIMOX es de 25 %. El costo por falta de existencias es de S/ 1,45 por cilindro y QUIMOX espera mantener un nivel de servicio de 95% (Z(95%) = 1,65 y E(Z) = 0.0206). Considerar que un mes tiene 30 días y un año 360 días. 
Considerar el tamaño de lote con 24 envíos y calcular: SS, Inv. Prom, PRO (TODAS LAS RESPUESTAS EN CILINDROS) y CTP para QUIMOX del insumo químico RX-14.</t>
  </si>
  <si>
    <t>ACME comercializa lentes de seguridad y tiene un mercado cautivo en las compañías del sur del país. Compra el producto en Lima a su proveedor al precio de S/ 268 la caja en el almacén del proveedor y luego lo transporta  a su almacén de Arequipa en donde vende estos productos a las compañías mineras de la zona. La demanda de los últimos 8 meses es: 44, 38, 89, 142, 37, 55, 28, 93 cajas. El transporte desde Lima es en un camión propio en un tiempo de 2 días con una variación de 0,45 días, el costo del transporte es de S/ 14 por caja. El proveedor le ofrece disponibilidad al 100% de estos lentes almacenando grandes cantidades para atender a varios clientes. ACME ha decidido tener un alto nivel de servicio a sus clientes ofreciendo tiempo de respuesta casi inmediatos con un stock de seguridad en su almacén de Arequipa, decide tener un nivel de servicio de 98% (Z(98%) = 2.05 y E(Z) = 0.0074). El costo de realizar pedidos es de S/ 75 y el costo  por rotura de stock es de S/ 0.5 por caja. El costo de almacenamiento anual es de 25%.
Calcular Q, SS, Inv. Prom, PRO (EN CAJAS) y CTP.</t>
  </si>
  <si>
    <t>Una Clínica nacional utiliza una solución intravenosa que adquiere de un importador local y mantiene en inventario. Los datos sobre este producto son los siguientes:
Uso diario promedio, 50 unidades
Desviación estándar del uso diario promedio, 15 unidades
Tiempo de entrega promedio, 7 días
Desviación estándar del tiempo de entrega, 2 días
Costo anual del manejo de inventarios, 30%
Costo de realizar un pedido S/ 50
Costo por falta de existencias S/ 15 por unidad
Valor del producto, S/ 45 por unidad
Probabilidad de tener existencias o nivel de servicio de ciclo CSL, 85% ( Z = 1.04   E(Z) = 0.0772)</t>
  </si>
  <si>
    <t>Resolver con el modelo de REVISIÓN CONTINUA:</t>
  </si>
  <si>
    <t>Stock de seguridad</t>
  </si>
  <si>
    <t>Tamaño de Lote Óptimo</t>
  </si>
  <si>
    <t>Inventario Promedio</t>
  </si>
  <si>
    <t>Punto de Reorden</t>
  </si>
  <si>
    <t>5.-</t>
  </si>
  <si>
    <t>Costo de almacenamiento</t>
  </si>
  <si>
    <t>6.-</t>
  </si>
  <si>
    <t>Costo por falta de existencias</t>
  </si>
  <si>
    <t>7.-</t>
  </si>
  <si>
    <t>Costo Total Anual Pertinente</t>
  </si>
  <si>
    <t>REVISIÓN CONTINUA</t>
  </si>
  <si>
    <t>PROVEED LOCAL</t>
  </si>
  <si>
    <t>CLINICA</t>
  </si>
  <si>
    <t xml:space="preserve">DEM_DIA = </t>
  </si>
  <si>
    <t>Z(85%) =</t>
  </si>
  <si>
    <t xml:space="preserve">DESV_DEM_AJUST = </t>
  </si>
  <si>
    <t>DEM_DIA =</t>
  </si>
  <si>
    <t xml:space="preserve">DESV_AJUST_TOTAL = </t>
  </si>
  <si>
    <t>ASUMIMOS UN AÑO 365 DÍAS</t>
  </si>
  <si>
    <t xml:space="preserve">IP = </t>
  </si>
  <si>
    <t>DESVIACION MENSUAL (30 DÍAS)</t>
  </si>
  <si>
    <t xml:space="preserve">DESV_TOT = </t>
  </si>
  <si>
    <t xml:space="preserve">d = </t>
  </si>
  <si>
    <t xml:space="preserve">DESV_AJUST =  </t>
  </si>
  <si>
    <t>DESV_AJUS=</t>
  </si>
  <si>
    <t>INCOTERM EXWORK</t>
  </si>
  <si>
    <t>C = 268</t>
  </si>
  <si>
    <t>C' = C + R</t>
  </si>
  <si>
    <t>268 + 14</t>
  </si>
  <si>
    <t>C ' =</t>
  </si>
  <si>
    <t>cajas</t>
  </si>
  <si>
    <t>CANDY es un autoservicio que tiene su único local en la Av. Brasil en Lima. Tiene más de 20.000 códigos activos en sus sistemas y están clasificados por categorías. Una categoría es frutas en conserva que contiene a 25 SKU´s  que tienen una rotación media en sus anaqueles. En esta categoría su producto estrella es Durazno 3 Caballos, quien tiene asignado en el almacén el espacio máximo de  2 parihuelas de 20 cajas cada una. Una caja de Duraznos 3 Caballos contiene 24 unidades. Las ventas en unidades de la conserva de durazno 3 caballos son de 12 unidades por día en promedio con una variación en la demanda diaria de 4 unidades. El proveedor es Horizonte SAC que está ubicado en Ate y siempre tiene inventario para reponer a CANDY, su tiempo de reposición es de 4 días sin variabilidad desde que colocan el pedido.  El precio de compra acordado por caja para este producto es de S/ 96 y Horizonte se hace cargo de llevar el producto hasta el almacén de su cliente. CANDY quiere gestionar los productos de esta categoría con el modelo de revisión periódica y quiere conocer los parámetros y los costos logísticos que este modelo le genera. El almacén de CANDY está al costado del autoservicio tiene un costo de almacenamiento anual de 30 % y realizar un pedido tiene un costo de S/ 75. Considere 30 y 360 días para un mes y un año respectivamente.
Calcular To, SS, Inv. Prom, M y CTP.</t>
  </si>
  <si>
    <t>ASUMIMOS UN AÑO 360 DÍAS</t>
  </si>
  <si>
    <t>Y UN NIVEL DE SERVICIO DE 90%</t>
  </si>
  <si>
    <t>NO HAY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</si>
</sst>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S/&quot;\ * #,##0.00_-;\-&quot;S/&quot;\ * #,##0.00_-;_-&quot;S/&quot;\ * &quot;-&quot;??_-;_-@_-"/>
    <numFmt numFmtId="43" formatCode="_-* #,##0.00_-;\-* #,##0.00_-;_-* &quot;-&quot;??_-;_-@_-"/>
    <numFmt numFmtId="164" formatCode="0.000"/>
    <numFmt numFmtId="165" formatCode="0.0"/>
    <numFmt numFmtId="166" formatCode="&quot;S/&quot;#,##0"/>
    <numFmt numFmtId="167" formatCode="&quot;S/&quot;#,##0.00"/>
    <numFmt numFmtId="168" formatCode="0\ &quot;GAL&quot;"/>
    <numFmt numFmtId="169" formatCode="0.0000"/>
    <numFmt numFmtId="170" formatCode="#,##0_ ;\-#,##0\ "/>
    <numFmt numFmtId="171" formatCode="0\ &quot;SACOS&quot;"/>
    <numFmt numFmtId="172" formatCode="_-[$S/-280A]* #,##0.00_-;\-[$S/-280A]* #,##0.00_-;_-[$S/-280A]* &quot;-&quot;??_-;_-@_-"/>
    <numFmt numFmtId="173" formatCode="_-[$S/-280A]* #,##0.0_-;\-[$S/-280A]* #,##0.0_-;_-[$S/-280A]* &quot;-&quot;??_-;_-@_-"/>
    <numFmt numFmtId="174" formatCode="0\ &quot;UND&quot;"/>
    <numFmt numFmtId="175" formatCode="0.00000"/>
  </numFmts>
  <fonts count="29"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2"/>
      <color theme="1"/>
      <name val="Calibri"/>
      <family val="2"/>
      <scheme val="minor"/>
    </font>
    <font>
      <b/>
      <sz val="16"/>
      <color theme="1"/>
      <name val="Calibri"/>
      <family val="2"/>
      <scheme val="minor"/>
    </font>
    <font>
      <b/>
      <sz val="18"/>
      <color theme="1"/>
      <name val="Calibri"/>
      <family val="2"/>
      <scheme val="minor"/>
    </font>
    <font>
      <b/>
      <i/>
      <sz val="11"/>
      <color theme="1"/>
      <name val="Calibri"/>
      <family val="2"/>
    </font>
    <font>
      <sz val="12"/>
      <color theme="1"/>
      <name val="Calibri"/>
      <family val="2"/>
      <scheme val="minor"/>
    </font>
    <font>
      <b/>
      <sz val="14"/>
      <color theme="1"/>
      <name val="Calibri"/>
      <family val="2"/>
      <scheme val="minor"/>
    </font>
    <font>
      <sz val="28"/>
      <color theme="1"/>
      <name val="Calibri"/>
      <family val="2"/>
      <scheme val="minor"/>
    </font>
    <font>
      <b/>
      <u/>
      <sz val="11"/>
      <color theme="1"/>
      <name val="Calibri"/>
      <family val="2"/>
      <scheme val="minor"/>
    </font>
    <font>
      <b/>
      <u/>
      <sz val="14"/>
      <color theme="1"/>
      <name val="Calibri"/>
      <family val="2"/>
      <scheme val="minor"/>
    </font>
    <font>
      <b/>
      <sz val="11"/>
      <color rgb="FFC00000"/>
      <name val="Calibri"/>
      <family val="2"/>
      <scheme val="minor"/>
    </font>
    <font>
      <sz val="11"/>
      <color theme="1"/>
      <name val="Calibri"/>
      <family val="2"/>
      <scheme val="minor"/>
    </font>
    <font>
      <sz val="11"/>
      <color theme="1"/>
      <name val="Arial"/>
      <family val="2"/>
    </font>
    <font>
      <sz val="20"/>
      <color theme="1"/>
      <name val="Calibri"/>
      <family val="2"/>
      <scheme val="minor"/>
    </font>
    <font>
      <sz val="14"/>
      <color theme="1"/>
      <name val="Calibri"/>
      <family val="2"/>
      <scheme val="minor"/>
    </font>
    <font>
      <b/>
      <u/>
      <sz val="12"/>
      <color theme="1"/>
      <name val="Calibri"/>
      <family val="2"/>
      <scheme val="minor"/>
    </font>
    <font>
      <sz val="18"/>
      <color theme="1"/>
      <name val="Calibri"/>
      <family val="2"/>
      <scheme val="minor"/>
    </font>
    <font>
      <i/>
      <sz val="11"/>
      <color theme="1"/>
      <name val="Arial"/>
      <family val="2"/>
    </font>
    <font>
      <i/>
      <sz val="11"/>
      <color theme="1"/>
      <name val="Browallia New"/>
      <family val="2"/>
      <charset val="222"/>
    </font>
    <font>
      <b/>
      <sz val="10"/>
      <color theme="1"/>
      <name val="Calibri"/>
      <family val="2"/>
      <scheme val="minor"/>
    </font>
    <font>
      <b/>
      <sz val="12"/>
      <color theme="1"/>
      <name val="Calibri"/>
      <family val="2"/>
    </font>
    <font>
      <b/>
      <u/>
      <sz val="16"/>
      <color theme="1"/>
      <name val="Calibri"/>
      <family val="2"/>
      <scheme val="minor"/>
    </font>
    <font>
      <sz val="24"/>
      <color theme="1"/>
      <name val="Calibri"/>
      <family val="2"/>
      <scheme val="minor"/>
    </font>
    <font>
      <b/>
      <sz val="11"/>
      <color rgb="FFFF0000"/>
      <name val="Calibri"/>
      <family val="2"/>
      <scheme val="minor"/>
    </font>
    <font>
      <sz val="11"/>
      <color rgb="FFFF0000"/>
      <name val="Calibri"/>
      <family val="2"/>
      <scheme val="minor"/>
    </font>
    <font>
      <sz val="16"/>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99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99CC"/>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4">
    <xf numFmtId="0" fontId="0" fillId="0" borderId="0"/>
    <xf numFmtId="43" fontId="14" fillId="0" borderId="0" applyFont="0" applyFill="0" applyBorder="0" applyAlignment="0" applyProtection="0"/>
    <xf numFmtId="9" fontId="14" fillId="0" borderId="0" applyFont="0" applyFill="0" applyBorder="0" applyAlignment="0" applyProtection="0"/>
    <xf numFmtId="44" fontId="14" fillId="0" borderId="0" applyFont="0" applyFill="0" applyBorder="0" applyAlignment="0" applyProtection="0"/>
  </cellStyleXfs>
  <cellXfs count="347">
    <xf numFmtId="0" fontId="0" fillId="0" borderId="0" xfId="0"/>
    <xf numFmtId="0" fontId="0" fillId="0" borderId="0" xfId="0" applyAlignment="1">
      <alignment horizontal="center"/>
    </xf>
    <xf numFmtId="0" fontId="2" fillId="0" borderId="0" xfId="0" applyFont="1" applyAlignment="1">
      <alignment vertical="center"/>
    </xf>
    <xf numFmtId="0" fontId="1" fillId="0" borderId="0" xfId="0" applyFont="1"/>
    <xf numFmtId="0" fontId="0" fillId="0" borderId="0" xfId="0" applyAlignment="1">
      <alignment horizontal="right"/>
    </xf>
    <xf numFmtId="0" fontId="1" fillId="0" borderId="0" xfId="0" applyFont="1" applyAlignment="1">
      <alignment horizontal="center"/>
    </xf>
    <xf numFmtId="3" fontId="0" fillId="0" borderId="0" xfId="0" applyNumberFormat="1"/>
    <xf numFmtId="0" fontId="0" fillId="0" borderId="0" xfId="0" applyAlignment="1">
      <alignment horizontal="left" vertical="center"/>
    </xf>
    <xf numFmtId="0" fontId="2" fillId="0" borderId="8" xfId="0" applyFont="1" applyBorder="1" applyAlignment="1">
      <alignment horizontal="center" vertical="center" wrapText="1"/>
    </xf>
    <xf numFmtId="9" fontId="2" fillId="0" borderId="8" xfId="0" applyNumberFormat="1" applyFont="1" applyBorder="1" applyAlignment="1">
      <alignment horizontal="center" vertical="center" wrapText="1"/>
    </xf>
    <xf numFmtId="0" fontId="2" fillId="0" borderId="0" xfId="0" applyFont="1" applyAlignment="1">
      <alignment horizontal="left" vertical="center"/>
    </xf>
    <xf numFmtId="0" fontId="1" fillId="2" borderId="0" xfId="0" applyFont="1" applyFill="1"/>
    <xf numFmtId="0" fontId="0" fillId="2" borderId="0" xfId="0" applyFill="1"/>
    <xf numFmtId="0" fontId="7" fillId="0" borderId="0" xfId="0" applyFont="1" applyAlignment="1">
      <alignment horizontal="left" vertical="center" indent="5"/>
    </xf>
    <xf numFmtId="0" fontId="1" fillId="2" borderId="0" xfId="0" applyFont="1" applyFill="1" applyAlignment="1">
      <alignment horizontal="left" vertical="center"/>
    </xf>
    <xf numFmtId="0" fontId="1" fillId="0" borderId="0" xfId="0" applyFont="1" applyAlignment="1">
      <alignment horizontal="right"/>
    </xf>
    <xf numFmtId="0" fontId="0" fillId="0" borderId="8" xfId="0" applyBorder="1" applyAlignment="1">
      <alignment horizontal="center"/>
    </xf>
    <xf numFmtId="0" fontId="4" fillId="2" borderId="0" xfId="0" applyFont="1" applyFill="1" applyAlignment="1">
      <alignment horizontal="center"/>
    </xf>
    <xf numFmtId="1" fontId="4" fillId="2" borderId="0" xfId="0" applyNumberFormat="1" applyFont="1" applyFill="1" applyAlignment="1">
      <alignment horizontal="center"/>
    </xf>
    <xf numFmtId="0" fontId="4" fillId="2" borderId="0" xfId="0" applyFont="1" applyFill="1"/>
    <xf numFmtId="2" fontId="1" fillId="0" borderId="0" xfId="0" applyNumberFormat="1" applyFont="1" applyAlignment="1">
      <alignment horizontal="center"/>
    </xf>
    <xf numFmtId="2" fontId="0" fillId="0" borderId="0" xfId="0" applyNumberFormat="1" applyAlignment="1">
      <alignment horizontal="center"/>
    </xf>
    <xf numFmtId="0" fontId="4" fillId="0" borderId="0" xfId="0" applyFont="1"/>
    <xf numFmtId="0" fontId="4" fillId="2" borderId="0" xfId="0" applyFont="1" applyFill="1" applyAlignment="1">
      <alignment horizontal="right"/>
    </xf>
    <xf numFmtId="0" fontId="1" fillId="2" borderId="0" xfId="0" applyFont="1" applyFill="1" applyAlignment="1">
      <alignment horizontal="right"/>
    </xf>
    <xf numFmtId="0" fontId="5" fillId="0" borderId="0" xfId="0" applyFont="1"/>
    <xf numFmtId="0" fontId="9" fillId="2" borderId="0" xfId="0" applyFont="1" applyFill="1" applyAlignment="1">
      <alignment horizontal="right"/>
    </xf>
    <xf numFmtId="166" fontId="9" fillId="2" borderId="0" xfId="0" applyNumberFormat="1" applyFont="1" applyFill="1" applyAlignment="1">
      <alignment horizontal="center"/>
    </xf>
    <xf numFmtId="0" fontId="1" fillId="2" borderId="8" xfId="0" applyFont="1" applyFill="1" applyBorder="1" applyAlignment="1">
      <alignment horizontal="center" vertical="center" wrapText="1"/>
    </xf>
    <xf numFmtId="0" fontId="9" fillId="0" borderId="0" xfId="0" applyFont="1" applyAlignment="1">
      <alignment horizontal="right"/>
    </xf>
    <xf numFmtId="0" fontId="1" fillId="3" borderId="8" xfId="0" applyFont="1" applyFill="1" applyBorder="1" applyAlignment="1">
      <alignment horizontal="center" vertical="center" wrapText="1"/>
    </xf>
    <xf numFmtId="0" fontId="9" fillId="2" borderId="0" xfId="0" applyFont="1" applyFill="1"/>
    <xf numFmtId="3" fontId="9" fillId="0" borderId="0" xfId="0" applyNumberFormat="1" applyFont="1"/>
    <xf numFmtId="0" fontId="5" fillId="2" borderId="0" xfId="0" applyFont="1" applyFill="1" applyAlignment="1">
      <alignment horizontal="right"/>
    </xf>
    <xf numFmtId="3" fontId="5" fillId="2" borderId="0" xfId="0" applyNumberFormat="1" applyFont="1" applyFill="1" applyAlignment="1">
      <alignment horizontal="center"/>
    </xf>
    <xf numFmtId="0" fontId="9" fillId="0" borderId="0" xfId="0" applyFont="1" applyAlignment="1">
      <alignment horizontal="center"/>
    </xf>
    <xf numFmtId="0" fontId="11" fillId="0" borderId="0" xfId="0" applyFont="1"/>
    <xf numFmtId="0" fontId="1" fillId="5" borderId="0" xfId="0" applyFont="1" applyFill="1"/>
    <xf numFmtId="0" fontId="0" fillId="5" borderId="0" xfId="0" applyFill="1"/>
    <xf numFmtId="0" fontId="11" fillId="6" borderId="0" xfId="0" applyFont="1" applyFill="1"/>
    <xf numFmtId="0" fontId="0" fillId="6" borderId="0" xfId="0" applyFill="1"/>
    <xf numFmtId="0" fontId="12" fillId="0" borderId="0" xfId="0" applyFont="1"/>
    <xf numFmtId="0" fontId="4" fillId="0" borderId="0" xfId="0" applyFont="1" applyAlignment="1">
      <alignment horizontal="left"/>
    </xf>
    <xf numFmtId="3" fontId="1" fillId="0" borderId="0" xfId="0" applyNumberFormat="1" applyFont="1" applyAlignment="1">
      <alignment horizontal="center"/>
    </xf>
    <xf numFmtId="0" fontId="5" fillId="0" borderId="0" xfId="0" applyFont="1" applyAlignment="1">
      <alignment horizontal="right"/>
    </xf>
    <xf numFmtId="0" fontId="0" fillId="0" borderId="0" xfId="0" applyAlignment="1">
      <alignment horizontal="left"/>
    </xf>
    <xf numFmtId="0" fontId="1" fillId="5" borderId="0" xfId="0" applyFont="1" applyFill="1" applyAlignment="1">
      <alignment horizontal="right"/>
    </xf>
    <xf numFmtId="0" fontId="1" fillId="5" borderId="0" xfId="0" applyFont="1" applyFill="1" applyAlignment="1">
      <alignment horizontal="center"/>
    </xf>
    <xf numFmtId="0" fontId="13" fillId="0" borderId="0" xfId="0" applyFont="1"/>
    <xf numFmtId="0" fontId="8" fillId="2" borderId="0" xfId="0" applyFont="1" applyFill="1"/>
    <xf numFmtId="166" fontId="9" fillId="2" borderId="0" xfId="0" applyNumberFormat="1" applyFont="1" applyFill="1" applyAlignment="1">
      <alignment vertical="center" wrapText="1"/>
    </xf>
    <xf numFmtId="0" fontId="9" fillId="2" borderId="22" xfId="0" applyFont="1" applyFill="1" applyBorder="1"/>
    <xf numFmtId="0" fontId="0" fillId="2" borderId="22" xfId="0" applyFill="1" applyBorder="1"/>
    <xf numFmtId="0" fontId="0" fillId="0" borderId="22" xfId="0" applyBorder="1"/>
    <xf numFmtId="166" fontId="9" fillId="2" borderId="22" xfId="0" applyNumberFormat="1" applyFont="1" applyFill="1" applyBorder="1" applyAlignment="1">
      <alignment vertical="center" wrapText="1"/>
    </xf>
    <xf numFmtId="166" fontId="5" fillId="2" borderId="0" xfId="0" applyNumberFormat="1" applyFont="1" applyFill="1" applyAlignment="1">
      <alignment vertical="center" wrapText="1"/>
    </xf>
    <xf numFmtId="0" fontId="5" fillId="2" borderId="0" xfId="0" applyFont="1" applyFill="1"/>
    <xf numFmtId="9" fontId="9" fillId="0" borderId="0" xfId="0" applyNumberFormat="1" applyFont="1"/>
    <xf numFmtId="3" fontId="9" fillId="2" borderId="0" xfId="0" applyNumberFormat="1" applyFont="1" applyFill="1"/>
    <xf numFmtId="4" fontId="9" fillId="2" borderId="0" xfId="0" applyNumberFormat="1" applyFont="1" applyFill="1" applyAlignment="1">
      <alignment horizontal="center"/>
    </xf>
    <xf numFmtId="165" fontId="1" fillId="0" borderId="0" xfId="0" applyNumberFormat="1" applyFont="1" applyAlignment="1">
      <alignment horizontal="center"/>
    </xf>
    <xf numFmtId="167" fontId="9" fillId="2" borderId="0" xfId="0" applyNumberFormat="1" applyFont="1" applyFill="1"/>
    <xf numFmtId="0" fontId="1" fillId="2" borderId="0" xfId="0" applyFont="1" applyFill="1" applyAlignment="1">
      <alignment horizontal="center"/>
    </xf>
    <xf numFmtId="0" fontId="0" fillId="0" borderId="0" xfId="0" applyAlignment="1">
      <alignment horizontal="left" vertical="center" wrapText="1"/>
    </xf>
    <xf numFmtId="0" fontId="12" fillId="8" borderId="0" xfId="0" applyFont="1" applyFill="1"/>
    <xf numFmtId="0" fontId="0" fillId="8" borderId="0" xfId="0" applyFill="1"/>
    <xf numFmtId="1" fontId="1" fillId="2" borderId="0" xfId="0" applyNumberFormat="1" applyFont="1" applyFill="1" applyAlignment="1">
      <alignment horizontal="center"/>
    </xf>
    <xf numFmtId="2" fontId="1" fillId="2" borderId="0" xfId="0" applyNumberFormat="1" applyFont="1" applyFill="1" applyAlignment="1">
      <alignment horizontal="center"/>
    </xf>
    <xf numFmtId="0" fontId="11" fillId="0" borderId="0" xfId="0" applyFont="1" applyAlignment="1">
      <alignment horizontal="left"/>
    </xf>
    <xf numFmtId="2" fontId="4" fillId="2" borderId="0" xfId="0" applyNumberFormat="1" applyFont="1" applyFill="1" applyAlignment="1">
      <alignment horizontal="center"/>
    </xf>
    <xf numFmtId="167" fontId="4" fillId="2" borderId="0" xfId="0" applyNumberFormat="1" applyFont="1" applyFill="1"/>
    <xf numFmtId="0" fontId="4" fillId="2" borderId="22" xfId="0" applyFont="1" applyFill="1" applyBorder="1"/>
    <xf numFmtId="167" fontId="4" fillId="2" borderId="22" xfId="0" applyNumberFormat="1" applyFont="1" applyFill="1" applyBorder="1"/>
    <xf numFmtId="0" fontId="9" fillId="10" borderId="0" xfId="0" applyFont="1" applyFill="1"/>
    <xf numFmtId="0" fontId="17" fillId="10" borderId="0" xfId="0" applyFont="1" applyFill="1"/>
    <xf numFmtId="167" fontId="9" fillId="10" borderId="0" xfId="0" applyNumberFormat="1" applyFont="1" applyFill="1"/>
    <xf numFmtId="4" fontId="1" fillId="2" borderId="0" xfId="0" applyNumberFormat="1" applyFont="1" applyFill="1" applyAlignment="1">
      <alignment vertical="center" wrapText="1"/>
    </xf>
    <xf numFmtId="0" fontId="18" fillId="0" borderId="0" xfId="0" applyFont="1"/>
    <xf numFmtId="2" fontId="1" fillId="2" borderId="0" xfId="0" applyNumberFormat="1" applyFont="1" applyFill="1"/>
    <xf numFmtId="2" fontId="4" fillId="2" borderId="0" xfId="0" applyNumberFormat="1" applyFont="1" applyFill="1"/>
    <xf numFmtId="0" fontId="9" fillId="10" borderId="0" xfId="0" applyFont="1" applyFill="1" applyAlignment="1">
      <alignment horizontal="right"/>
    </xf>
    <xf numFmtId="2" fontId="9" fillId="10" borderId="0" xfId="0" applyNumberFormat="1" applyFont="1" applyFill="1"/>
    <xf numFmtId="3" fontId="1" fillId="2" borderId="0" xfId="0" applyNumberFormat="1" applyFont="1" applyFill="1" applyAlignment="1">
      <alignment horizontal="center"/>
    </xf>
    <xf numFmtId="3" fontId="1" fillId="2" borderId="0" xfId="0" applyNumberFormat="1" applyFont="1" applyFill="1"/>
    <xf numFmtId="0" fontId="1" fillId="11" borderId="0" xfId="0" applyFont="1" applyFill="1" applyAlignment="1">
      <alignment horizontal="right"/>
    </xf>
    <xf numFmtId="0" fontId="1" fillId="11" borderId="0" xfId="0" applyFont="1" applyFill="1" applyAlignment="1">
      <alignment horizontal="center"/>
    </xf>
    <xf numFmtId="0" fontId="0" fillId="0" borderId="0" xfId="0" applyAlignment="1">
      <alignment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vertical="center"/>
    </xf>
    <xf numFmtId="0" fontId="0" fillId="0" borderId="27" xfId="0" applyBorder="1"/>
    <xf numFmtId="0" fontId="0" fillId="0" borderId="26" xfId="0" applyBorder="1"/>
    <xf numFmtId="9" fontId="2" fillId="0" borderId="5" xfId="0" applyNumberFormat="1" applyFont="1" applyBorder="1" applyAlignment="1">
      <alignment horizontal="center" vertical="center" wrapText="1"/>
    </xf>
    <xf numFmtId="2" fontId="0" fillId="0" borderId="0" xfId="0" applyNumberFormat="1"/>
    <xf numFmtId="0" fontId="22" fillId="0" borderId="0" xfId="0" applyFont="1"/>
    <xf numFmtId="4" fontId="1" fillId="2" borderId="0" xfId="0" applyNumberFormat="1" applyFont="1" applyFill="1" applyAlignment="1">
      <alignment horizontal="center"/>
    </xf>
    <xf numFmtId="0" fontId="2" fillId="0" borderId="26" xfId="0" applyFont="1" applyBorder="1" applyAlignment="1">
      <alignment horizontal="center" vertical="center" wrapText="1"/>
    </xf>
    <xf numFmtId="3" fontId="2" fillId="0" borderId="6" xfId="0" applyNumberFormat="1" applyFont="1" applyBorder="1" applyAlignment="1">
      <alignment horizontal="center" vertical="center" wrapText="1"/>
    </xf>
    <xf numFmtId="0" fontId="2" fillId="0" borderId="25"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3" fontId="4" fillId="2" borderId="0" xfId="0" applyNumberFormat="1" applyFont="1" applyFill="1" applyAlignment="1">
      <alignment horizontal="center"/>
    </xf>
    <xf numFmtId="4" fontId="8" fillId="0" borderId="0" xfId="0" applyNumberFormat="1" applyFont="1"/>
    <xf numFmtId="4" fontId="4" fillId="2" borderId="0" xfId="0" applyNumberFormat="1" applyFont="1" applyFill="1"/>
    <xf numFmtId="3" fontId="4" fillId="2" borderId="0" xfId="0" applyNumberFormat="1" applyFont="1" applyFill="1"/>
    <xf numFmtId="168" fontId="0" fillId="0" borderId="0" xfId="0" applyNumberFormat="1" applyAlignment="1">
      <alignment horizontal="center"/>
    </xf>
    <xf numFmtId="0" fontId="1" fillId="12" borderId="8" xfId="0" applyFont="1" applyFill="1" applyBorder="1" applyAlignment="1">
      <alignment horizontal="right"/>
    </xf>
    <xf numFmtId="0" fontId="1" fillId="12" borderId="8" xfId="0" applyFont="1" applyFill="1" applyBorder="1" applyAlignment="1">
      <alignment horizontal="center"/>
    </xf>
    <xf numFmtId="0" fontId="9" fillId="2" borderId="0" xfId="0" applyFont="1" applyFill="1" applyAlignment="1">
      <alignment horizontal="center"/>
    </xf>
    <xf numFmtId="3" fontId="9" fillId="2" borderId="0" xfId="0" applyNumberFormat="1" applyFont="1" applyFill="1" applyAlignment="1">
      <alignment horizontal="center"/>
    </xf>
    <xf numFmtId="0" fontId="2" fillId="8" borderId="16" xfId="0" applyFont="1" applyFill="1" applyBorder="1" applyAlignment="1">
      <alignment horizontal="center" vertical="center"/>
    </xf>
    <xf numFmtId="0" fontId="2" fillId="8" borderId="17" xfId="0" applyFont="1" applyFill="1" applyBorder="1" applyAlignment="1">
      <alignment horizontal="center" vertical="center"/>
    </xf>
    <xf numFmtId="0" fontId="0" fillId="8" borderId="17" xfId="0" applyFill="1" applyBorder="1"/>
    <xf numFmtId="0" fontId="0" fillId="8" borderId="16" xfId="0" applyFill="1" applyBorder="1"/>
    <xf numFmtId="0" fontId="2" fillId="8" borderId="18" xfId="0" applyFont="1" applyFill="1" applyBorder="1" applyAlignment="1">
      <alignment horizontal="center" vertical="center"/>
    </xf>
    <xf numFmtId="0" fontId="2" fillId="8" borderId="19" xfId="0" applyFont="1" applyFill="1" applyBorder="1" applyAlignment="1">
      <alignment horizontal="center" vertical="center"/>
    </xf>
    <xf numFmtId="0" fontId="2" fillId="8" borderId="20" xfId="0" applyFont="1" applyFill="1" applyBorder="1" applyAlignment="1">
      <alignment horizontal="center" vertical="center"/>
    </xf>
    <xf numFmtId="0" fontId="0" fillId="8" borderId="20" xfId="0" applyFill="1" applyBorder="1"/>
    <xf numFmtId="0" fontId="0" fillId="8" borderId="19" xfId="0" applyFill="1" applyBorder="1"/>
    <xf numFmtId="0" fontId="2" fillId="8" borderId="21"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15" xfId="0" applyFont="1" applyFill="1" applyBorder="1" applyAlignment="1">
      <alignment horizontal="center" vertical="center"/>
    </xf>
    <xf numFmtId="0" fontId="0" fillId="8" borderId="15" xfId="0" applyFill="1" applyBorder="1"/>
    <xf numFmtId="0" fontId="0" fillId="8" borderId="4" xfId="0" applyFill="1" applyBorder="1"/>
    <xf numFmtId="0" fontId="2" fillId="8" borderId="6" xfId="0" applyFont="1" applyFill="1" applyBorder="1" applyAlignment="1">
      <alignment horizontal="center" vertical="center"/>
    </xf>
    <xf numFmtId="0" fontId="23" fillId="13" borderId="1" xfId="0" applyFont="1" applyFill="1" applyBorder="1" applyAlignment="1">
      <alignment horizontal="center" vertical="center" wrapText="1"/>
    </xf>
    <xf numFmtId="1" fontId="0" fillId="0" borderId="0" xfId="0" applyNumberFormat="1" applyAlignment="1">
      <alignment horizontal="center"/>
    </xf>
    <xf numFmtId="1" fontId="1" fillId="0" borderId="0" xfId="0" applyNumberFormat="1" applyFont="1" applyAlignment="1">
      <alignment horizontal="center"/>
    </xf>
    <xf numFmtId="165" fontId="9" fillId="2" borderId="0" xfId="0" applyNumberFormat="1" applyFont="1" applyFill="1" applyAlignment="1">
      <alignment horizontal="center"/>
    </xf>
    <xf numFmtId="0" fontId="24" fillId="0" borderId="0" xfId="0" applyFont="1" applyAlignment="1">
      <alignment horizontal="left"/>
    </xf>
    <xf numFmtId="0" fontId="2" fillId="8" borderId="8" xfId="0" applyFont="1" applyFill="1" applyBorder="1" applyAlignment="1">
      <alignment vertical="center" wrapText="1"/>
    </xf>
    <xf numFmtId="3" fontId="2" fillId="8" borderId="8" xfId="0" applyNumberFormat="1" applyFont="1" applyFill="1" applyBorder="1" applyAlignment="1">
      <alignment horizontal="center" vertical="center" wrapText="1"/>
    </xf>
    <xf numFmtId="0" fontId="3" fillId="13" borderId="8" xfId="0" applyFont="1" applyFill="1" applyBorder="1" applyAlignment="1">
      <alignment horizontal="center" vertical="center" wrapText="1"/>
    </xf>
    <xf numFmtId="0" fontId="3" fillId="13" borderId="8" xfId="0" applyFont="1" applyFill="1" applyBorder="1" applyAlignment="1">
      <alignment vertical="center" wrapText="1"/>
    </xf>
    <xf numFmtId="0" fontId="0" fillId="0" borderId="8" xfId="0" applyBorder="1"/>
    <xf numFmtId="9" fontId="0" fillId="0" borderId="8" xfId="2" applyFont="1" applyBorder="1"/>
    <xf numFmtId="9" fontId="0" fillId="0" borderId="8" xfId="2" applyFont="1" applyBorder="1" applyAlignment="1">
      <alignment horizontal="center"/>
    </xf>
    <xf numFmtId="170" fontId="0" fillId="0" borderId="8" xfId="1" applyNumberFormat="1" applyFont="1" applyBorder="1" applyAlignment="1">
      <alignment horizontal="center"/>
    </xf>
    <xf numFmtId="0" fontId="0" fillId="0" borderId="0" xfId="0" applyAlignment="1">
      <alignment horizontal="right" vertical="center" wrapText="1"/>
    </xf>
    <xf numFmtId="0" fontId="0" fillId="0" borderId="0" xfId="0" applyAlignment="1">
      <alignment horizontal="center" vertical="center" wrapText="1"/>
    </xf>
    <xf numFmtId="3" fontId="0" fillId="0" borderId="0" xfId="0" applyNumberFormat="1" applyAlignment="1">
      <alignment horizontal="center"/>
    </xf>
    <xf numFmtId="1" fontId="9" fillId="10" borderId="0" xfId="0" applyNumberFormat="1" applyFont="1" applyFill="1" applyAlignment="1">
      <alignment horizontal="center"/>
    </xf>
    <xf numFmtId="0" fontId="0" fillId="10" borderId="0" xfId="0" applyFill="1"/>
    <xf numFmtId="0" fontId="4" fillId="9" borderId="0" xfId="0" applyFont="1" applyFill="1"/>
    <xf numFmtId="167" fontId="4" fillId="9" borderId="0" xfId="0" applyNumberFormat="1" applyFont="1" applyFill="1"/>
    <xf numFmtId="0" fontId="4" fillId="9" borderId="22" xfId="0" applyFont="1" applyFill="1" applyBorder="1"/>
    <xf numFmtId="167" fontId="4" fillId="9" borderId="22" xfId="0" applyNumberFormat="1" applyFont="1" applyFill="1" applyBorder="1"/>
    <xf numFmtId="0" fontId="4" fillId="0" borderId="0" xfId="0" applyFont="1" applyAlignment="1">
      <alignment horizontal="center"/>
    </xf>
    <xf numFmtId="0" fontId="4" fillId="0" borderId="0" xfId="0" applyFont="1" applyAlignment="1">
      <alignment horizontal="right"/>
    </xf>
    <xf numFmtId="2" fontId="4" fillId="0" borderId="0" xfId="0" applyNumberFormat="1" applyFont="1" applyAlignment="1">
      <alignment horizontal="center"/>
    </xf>
    <xf numFmtId="1" fontId="1" fillId="0" borderId="0" xfId="0" applyNumberFormat="1" applyFont="1" applyAlignment="1">
      <alignment horizontal="right"/>
    </xf>
    <xf numFmtId="1" fontId="1" fillId="2" borderId="0" xfId="0" applyNumberFormat="1" applyFont="1"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0" fontId="1" fillId="10" borderId="0" xfId="0" applyFont="1" applyFill="1"/>
    <xf numFmtId="167" fontId="1" fillId="10" borderId="0" xfId="0" applyNumberFormat="1" applyFont="1" applyFill="1"/>
    <xf numFmtId="1" fontId="1" fillId="10" borderId="0" xfId="0" applyNumberFormat="1" applyFont="1" applyFill="1"/>
    <xf numFmtId="0" fontId="1" fillId="10" borderId="22" xfId="0" applyFont="1" applyFill="1" applyBorder="1"/>
    <xf numFmtId="167" fontId="1" fillId="10" borderId="22" xfId="0" applyNumberFormat="1" applyFont="1" applyFill="1" applyBorder="1"/>
    <xf numFmtId="0" fontId="4" fillId="10" borderId="0" xfId="0" applyFont="1" applyFill="1"/>
    <xf numFmtId="167" fontId="4" fillId="10" borderId="0" xfId="0" applyNumberFormat="1" applyFont="1" applyFill="1"/>
    <xf numFmtId="1" fontId="1" fillId="2" borderId="0" xfId="0" applyNumberFormat="1" applyFont="1" applyFill="1"/>
    <xf numFmtId="167" fontId="1" fillId="2" borderId="0" xfId="0" applyNumberFormat="1" applyFont="1" applyFill="1" applyAlignment="1">
      <alignment vertical="center" wrapText="1"/>
    </xf>
    <xf numFmtId="0" fontId="1" fillId="2" borderId="22" xfId="0" applyFont="1" applyFill="1" applyBorder="1" applyAlignment="1">
      <alignment horizontal="right"/>
    </xf>
    <xf numFmtId="167" fontId="1" fillId="2" borderId="22" xfId="0" applyNumberFormat="1" applyFont="1" applyFill="1" applyBorder="1" applyAlignment="1">
      <alignment vertical="center" wrapText="1"/>
    </xf>
    <xf numFmtId="0" fontId="1" fillId="0" borderId="0" xfId="0" applyFont="1" applyAlignment="1">
      <alignment vertical="top"/>
    </xf>
    <xf numFmtId="0" fontId="1" fillId="0" borderId="0" xfId="0" applyFont="1" applyAlignment="1">
      <alignment horizontal="right" vertical="top"/>
    </xf>
    <xf numFmtId="0" fontId="1" fillId="0" borderId="0" xfId="0" applyFont="1" applyAlignment="1">
      <alignment horizontal="center" vertical="top"/>
    </xf>
    <xf numFmtId="167" fontId="1" fillId="2" borderId="0" xfId="0" applyNumberFormat="1" applyFont="1" applyFill="1"/>
    <xf numFmtId="0" fontId="4" fillId="0" borderId="0" xfId="0" applyFont="1" applyAlignment="1">
      <alignment vertical="center"/>
    </xf>
    <xf numFmtId="0" fontId="8" fillId="0" borderId="0" xfId="0" applyFont="1" applyAlignment="1">
      <alignment vertical="center" wrapText="1"/>
    </xf>
    <xf numFmtId="0" fontId="8" fillId="0" borderId="0" xfId="0" applyFont="1"/>
    <xf numFmtId="0" fontId="8" fillId="0" borderId="0" xfId="0" applyFont="1" applyAlignment="1">
      <alignment horizontal="center" vertical="center" wrapText="1"/>
    </xf>
    <xf numFmtId="0" fontId="5" fillId="10" borderId="0" xfId="0" applyFont="1" applyFill="1"/>
    <xf numFmtId="0" fontId="5" fillId="10" borderId="0" xfId="0" applyFont="1" applyFill="1" applyAlignment="1">
      <alignment horizontal="center"/>
    </xf>
    <xf numFmtId="164" fontId="1" fillId="0" borderId="0" xfId="0" applyNumberFormat="1" applyFont="1" applyAlignment="1">
      <alignment horizontal="center"/>
    </xf>
    <xf numFmtId="165" fontId="1" fillId="2" borderId="0" xfId="0" applyNumberFormat="1" applyFont="1" applyFill="1" applyAlignment="1">
      <alignment horizontal="center"/>
    </xf>
    <xf numFmtId="3" fontId="0" fillId="0" borderId="0" xfId="0" applyNumberFormat="1" applyAlignment="1">
      <alignment horizontal="center" vertical="center" wrapText="1"/>
    </xf>
    <xf numFmtId="0" fontId="0" fillId="2" borderId="0" xfId="0" applyFill="1" applyAlignment="1">
      <alignment horizontal="right" vertical="center" wrapText="1"/>
    </xf>
    <xf numFmtId="0" fontId="0" fillId="2" borderId="0" xfId="0" applyFill="1" applyAlignment="1">
      <alignment horizontal="center" vertical="center" wrapText="1"/>
    </xf>
    <xf numFmtId="0" fontId="0" fillId="2" borderId="0" xfId="0" applyFill="1" applyAlignment="1">
      <alignment horizontal="left" vertical="center" wrapText="1"/>
    </xf>
    <xf numFmtId="169" fontId="1" fillId="0" borderId="0" xfId="0" applyNumberFormat="1" applyFont="1" applyAlignment="1">
      <alignment horizontal="center"/>
    </xf>
    <xf numFmtId="167" fontId="1" fillId="0" borderId="0" xfId="0" applyNumberFormat="1" applyFont="1" applyAlignment="1">
      <alignment horizontal="center"/>
    </xf>
    <xf numFmtId="0" fontId="9" fillId="0" borderId="0" xfId="0" applyFont="1"/>
    <xf numFmtId="3" fontId="2" fillId="2" borderId="8" xfId="0" applyNumberFormat="1" applyFont="1" applyFill="1" applyBorder="1" applyAlignment="1">
      <alignment horizontal="center" vertical="center" wrapText="1"/>
    </xf>
    <xf numFmtId="171" fontId="0" fillId="0" borderId="0" xfId="0" applyNumberFormat="1" applyAlignment="1">
      <alignment horizontal="center" vertical="center" wrapText="1"/>
    </xf>
    <xf numFmtId="172" fontId="0" fillId="0" borderId="0" xfId="0" applyNumberFormat="1"/>
    <xf numFmtId="173" fontId="0" fillId="0" borderId="0" xfId="0" applyNumberFormat="1"/>
    <xf numFmtId="0" fontId="26" fillId="0" borderId="0" xfId="0" applyFont="1"/>
    <xf numFmtId="172" fontId="1" fillId="0" borderId="0" xfId="0" applyNumberFormat="1" applyFont="1" applyAlignment="1">
      <alignment horizontal="center"/>
    </xf>
    <xf numFmtId="0" fontId="9" fillId="9" borderId="0" xfId="0" applyFont="1" applyFill="1" applyAlignment="1">
      <alignment horizontal="right"/>
    </xf>
    <xf numFmtId="1" fontId="9" fillId="9" borderId="0" xfId="0" applyNumberFormat="1" applyFont="1" applyFill="1" applyAlignment="1">
      <alignment horizontal="center"/>
    </xf>
    <xf numFmtId="0" fontId="9" fillId="9" borderId="0" xfId="0" applyFont="1" applyFill="1"/>
    <xf numFmtId="0" fontId="1" fillId="9" borderId="0" xfId="0" applyFont="1" applyFill="1"/>
    <xf numFmtId="2" fontId="9" fillId="9" borderId="0" xfId="0" applyNumberFormat="1" applyFont="1" applyFill="1" applyAlignment="1">
      <alignment horizontal="right"/>
    </xf>
    <xf numFmtId="2" fontId="9" fillId="9" borderId="0" xfId="0" applyNumberFormat="1" applyFont="1" applyFill="1" applyAlignment="1">
      <alignment horizontal="center"/>
    </xf>
    <xf numFmtId="0" fontId="0" fillId="9" borderId="0" xfId="0" applyFill="1"/>
    <xf numFmtId="2" fontId="4" fillId="0" borderId="0" xfId="0" applyNumberFormat="1" applyFont="1" applyAlignment="1">
      <alignment horizontal="right"/>
    </xf>
    <xf numFmtId="1" fontId="9" fillId="9" borderId="0" xfId="0" applyNumberFormat="1" applyFont="1" applyFill="1" applyAlignment="1">
      <alignment horizontal="right"/>
    </xf>
    <xf numFmtId="0" fontId="9" fillId="9" borderId="0" xfId="0" applyFont="1" applyFill="1" applyAlignment="1">
      <alignment horizontal="center"/>
    </xf>
    <xf numFmtId="164" fontId="0" fillId="0" borderId="0" xfId="0" applyNumberFormat="1" applyAlignment="1">
      <alignment horizontal="center"/>
    </xf>
    <xf numFmtId="2" fontId="1" fillId="0" borderId="0" xfId="0" applyNumberFormat="1" applyFont="1"/>
    <xf numFmtId="0" fontId="0" fillId="15" borderId="8" xfId="0" applyFill="1" applyBorder="1" applyAlignment="1">
      <alignment horizontal="right"/>
    </xf>
    <xf numFmtId="1" fontId="0" fillId="15" borderId="8" xfId="0" applyNumberFormat="1" applyFill="1" applyBorder="1"/>
    <xf numFmtId="0" fontId="0" fillId="15" borderId="8" xfId="0" applyFill="1" applyBorder="1"/>
    <xf numFmtId="0" fontId="0" fillId="16" borderId="8" xfId="0" applyFill="1" applyBorder="1" applyAlignment="1">
      <alignment horizontal="right" vertical="center" wrapText="1"/>
    </xf>
    <xf numFmtId="0" fontId="0" fillId="16" borderId="8" xfId="0" applyFill="1" applyBorder="1" applyAlignment="1">
      <alignment horizontal="center" vertical="center" wrapText="1"/>
    </xf>
    <xf numFmtId="0" fontId="0" fillId="16" borderId="8" xfId="0" applyFill="1" applyBorder="1" applyAlignment="1">
      <alignment horizontal="right"/>
    </xf>
    <xf numFmtId="0" fontId="0" fillId="16" borderId="8" xfId="0" applyFill="1" applyBorder="1" applyAlignment="1">
      <alignment horizontal="center"/>
    </xf>
    <xf numFmtId="0" fontId="1" fillId="16" borderId="8" xfId="0" applyFont="1" applyFill="1" applyBorder="1" applyAlignment="1">
      <alignment horizontal="right"/>
    </xf>
    <xf numFmtId="0" fontId="1" fillId="16" borderId="8" xfId="0" applyFont="1" applyFill="1" applyBorder="1" applyAlignment="1">
      <alignment horizontal="center"/>
    </xf>
    <xf numFmtId="0" fontId="3" fillId="9" borderId="8" xfId="0" applyFont="1" applyFill="1" applyBorder="1" applyAlignment="1">
      <alignment horizontal="center" vertical="center" wrapText="1"/>
    </xf>
    <xf numFmtId="0" fontId="5" fillId="0" borderId="0" xfId="0" applyFont="1" applyAlignment="1">
      <alignment vertical="center"/>
    </xf>
    <xf numFmtId="174" fontId="1" fillId="2" borderId="0" xfId="0" applyNumberFormat="1" applyFont="1" applyFill="1" applyAlignment="1">
      <alignment horizontal="center"/>
    </xf>
    <xf numFmtId="0" fontId="4" fillId="2" borderId="0" xfId="0" applyFont="1" applyFill="1" applyAlignment="1">
      <alignment horizontal="left"/>
    </xf>
    <xf numFmtId="167" fontId="9" fillId="15" borderId="0" xfId="0" applyNumberFormat="1" applyFont="1" applyFill="1"/>
    <xf numFmtId="2" fontId="9" fillId="10" borderId="0" xfId="0" applyNumberFormat="1" applyFont="1" applyFill="1" applyAlignment="1">
      <alignment horizontal="center"/>
    </xf>
    <xf numFmtId="167" fontId="0" fillId="0" borderId="0" xfId="0" applyNumberFormat="1"/>
    <xf numFmtId="167" fontId="5" fillId="2" borderId="0" xfId="0" applyNumberFormat="1" applyFont="1" applyFill="1"/>
    <xf numFmtId="4" fontId="9" fillId="2" borderId="0" xfId="0" applyNumberFormat="1" applyFont="1" applyFill="1"/>
    <xf numFmtId="175" fontId="0" fillId="0" borderId="0" xfId="0" applyNumberFormat="1"/>
    <xf numFmtId="0" fontId="1" fillId="0" borderId="0" xfId="0" applyFont="1" applyAlignment="1">
      <alignment horizontal="left" vertical="center" wrapText="1"/>
    </xf>
    <xf numFmtId="0" fontId="1" fillId="3" borderId="0" xfId="0" applyFont="1" applyFill="1" applyAlignment="1">
      <alignment horizontal="right" vertical="center" wrapText="1"/>
    </xf>
    <xf numFmtId="2" fontId="1" fillId="3" borderId="0" xfId="0" applyNumberFormat="1" applyFont="1" applyFill="1" applyAlignment="1">
      <alignment horizontal="center" vertical="center" wrapText="1"/>
    </xf>
    <xf numFmtId="0" fontId="1" fillId="3" borderId="0" xfId="0" applyFont="1" applyFill="1" applyAlignment="1">
      <alignment horizontal="left" vertical="center" wrapText="1"/>
    </xf>
    <xf numFmtId="0" fontId="1" fillId="3" borderId="0" xfId="0" applyFont="1" applyFill="1" applyAlignment="1">
      <alignment horizontal="right"/>
    </xf>
    <xf numFmtId="0" fontId="1" fillId="3" borderId="0" xfId="0" applyFont="1" applyFill="1" applyAlignment="1">
      <alignment horizontal="center"/>
    </xf>
    <xf numFmtId="0" fontId="1" fillId="3" borderId="0" xfId="0" applyFont="1" applyFill="1"/>
    <xf numFmtId="44" fontId="4" fillId="0" borderId="0" xfId="3" applyFont="1"/>
    <xf numFmtId="44" fontId="4" fillId="0" borderId="22" xfId="3" applyFont="1" applyBorder="1"/>
    <xf numFmtId="44" fontId="4" fillId="0" borderId="0" xfId="0" applyNumberFormat="1" applyFont="1"/>
    <xf numFmtId="43" fontId="4" fillId="2" borderId="0" xfId="1" applyFont="1" applyFill="1"/>
    <xf numFmtId="0" fontId="0" fillId="3" borderId="0" xfId="0" applyFill="1"/>
    <xf numFmtId="2" fontId="4" fillId="3" borderId="0" xfId="0" applyNumberFormat="1" applyFont="1" applyFill="1" applyAlignment="1">
      <alignment horizontal="center"/>
    </xf>
    <xf numFmtId="0" fontId="4" fillId="3" borderId="0" xfId="0" applyFont="1" applyFill="1" applyAlignment="1">
      <alignment horizontal="center"/>
    </xf>
    <xf numFmtId="2" fontId="9" fillId="2" borderId="0" xfId="0" applyNumberFormat="1" applyFont="1" applyFill="1" applyAlignment="1">
      <alignment horizontal="center"/>
    </xf>
    <xf numFmtId="164" fontId="1" fillId="3" borderId="0" xfId="0" applyNumberFormat="1" applyFont="1" applyFill="1"/>
    <xf numFmtId="4" fontId="4" fillId="2" borderId="0" xfId="0" applyNumberFormat="1" applyFont="1" applyFill="1" applyAlignment="1">
      <alignment horizontal="center"/>
    </xf>
    <xf numFmtId="0" fontId="5" fillId="2" borderId="0" xfId="0" applyFont="1" applyFill="1" applyAlignment="1">
      <alignment horizontal="center"/>
    </xf>
    <xf numFmtId="44" fontId="0" fillId="0" borderId="0" xfId="3" applyFont="1"/>
    <xf numFmtId="0" fontId="27" fillId="0" borderId="0" xfId="0" applyFont="1"/>
    <xf numFmtId="44" fontId="0" fillId="0" borderId="22" xfId="3" applyFont="1" applyBorder="1"/>
    <xf numFmtId="44" fontId="9" fillId="5" borderId="0" xfId="0" applyNumberFormat="1" applyFont="1" applyFill="1"/>
    <xf numFmtId="0" fontId="4" fillId="3" borderId="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 fillId="0" borderId="0" xfId="0" applyFont="1" applyAlignment="1">
      <alignment horizontal="center"/>
    </xf>
    <xf numFmtId="0" fontId="8" fillId="8" borderId="0" xfId="0" applyFont="1" applyFill="1" applyAlignment="1">
      <alignment horizontal="left" vertical="center" wrapText="1"/>
    </xf>
    <xf numFmtId="0" fontId="2" fillId="0" borderId="7" xfId="0" applyFont="1" applyBorder="1" applyAlignment="1">
      <alignment vertical="center"/>
    </xf>
    <xf numFmtId="0" fontId="2" fillId="0" borderId="0" xfId="0" applyFont="1" applyAlignment="1">
      <alignment vertical="center"/>
    </xf>
    <xf numFmtId="0" fontId="23" fillId="13" borderId="13"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4" xfId="0" applyFont="1" applyFill="1" applyBorder="1" applyAlignment="1">
      <alignment horizontal="center" vertical="center" wrapText="1"/>
    </xf>
    <xf numFmtId="0" fontId="8" fillId="8" borderId="0" xfId="0" applyFont="1" applyFill="1" applyAlignment="1">
      <alignment horizontal="left" vertical="center"/>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9" fillId="5" borderId="0" xfId="0" applyFont="1" applyFill="1" applyAlignment="1">
      <alignment horizontal="left" vertical="center" wrapText="1"/>
    </xf>
    <xf numFmtId="0" fontId="25" fillId="2" borderId="0" xfId="0" applyFont="1" applyFill="1" applyAlignment="1">
      <alignment horizontal="center"/>
    </xf>
    <xf numFmtId="0" fontId="19" fillId="3" borderId="9"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0" fillId="8" borderId="0" xfId="0" applyFill="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center" vertical="center" wrapText="1"/>
    </xf>
    <xf numFmtId="9" fontId="0" fillId="0" borderId="8" xfId="0" applyNumberFormat="1" applyBorder="1" applyAlignment="1">
      <alignment horizontal="center" vertical="center" wrapText="1"/>
    </xf>
    <xf numFmtId="0" fontId="1" fillId="2" borderId="0" xfId="0" applyFont="1" applyFill="1" applyAlignment="1">
      <alignment horizontal="left" vertical="center"/>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8" xfId="0" applyFont="1" applyBorder="1" applyAlignment="1">
      <alignment horizontal="center" vertical="center" wrapText="1"/>
    </xf>
    <xf numFmtId="0" fontId="16" fillId="9" borderId="1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2" fillId="0" borderId="8" xfId="0" applyFont="1" applyBorder="1" applyAlignment="1">
      <alignment vertical="center"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2" fillId="0" borderId="24" xfId="0" applyFont="1" applyBorder="1" applyAlignment="1">
      <alignment horizontal="left" vertical="center" wrapText="1"/>
    </xf>
    <xf numFmtId="0" fontId="2" fillId="0" borderId="8" xfId="0" applyFont="1" applyBorder="1" applyAlignment="1">
      <alignment horizontal="left" vertical="center" wrapText="1"/>
    </xf>
    <xf numFmtId="3" fontId="2" fillId="0" borderId="1" xfId="0" applyNumberFormat="1"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5" fillId="11" borderId="11"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9" fillId="5" borderId="9"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4" fillId="2" borderId="0" xfId="0" applyFont="1" applyFill="1" applyAlignment="1">
      <alignment horizontal="left" vertical="center" wrapText="1"/>
    </xf>
    <xf numFmtId="0" fontId="5" fillId="9" borderId="11"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 fillId="0" borderId="0" xfId="0" applyFont="1" applyAlignment="1">
      <alignment horizontal="center" vertical="top"/>
    </xf>
    <xf numFmtId="0" fontId="11" fillId="0" borderId="0" xfId="0" applyFont="1" applyAlignment="1">
      <alignment horizontal="center" vertical="center" wrapText="1"/>
    </xf>
    <xf numFmtId="0" fontId="9" fillId="2" borderId="0" xfId="0" applyFont="1" applyFill="1" applyAlignment="1">
      <alignment horizontal="center" vertical="center" wrapText="1"/>
    </xf>
    <xf numFmtId="0" fontId="9" fillId="2" borderId="15" xfId="0" applyFont="1" applyFill="1" applyBorder="1" applyAlignment="1">
      <alignment horizontal="center"/>
    </xf>
    <xf numFmtId="0" fontId="6" fillId="5" borderId="15" xfId="0" applyFont="1" applyFill="1" applyBorder="1" applyAlignment="1">
      <alignment horizontal="center"/>
    </xf>
    <xf numFmtId="0" fontId="28" fillId="0" borderId="0" xfId="0" applyFont="1" applyAlignment="1">
      <alignment horizontal="center" vertical="center" wrapText="1"/>
    </xf>
    <xf numFmtId="0" fontId="9" fillId="7" borderId="9"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0" borderId="0" xfId="0" applyFont="1" applyAlignment="1">
      <alignment horizontal="center"/>
    </xf>
    <xf numFmtId="0" fontId="0" fillId="0" borderId="0" xfId="0" applyAlignment="1">
      <alignment horizontal="center"/>
    </xf>
    <xf numFmtId="0" fontId="13" fillId="0" borderId="0" xfId="0" applyFont="1" applyAlignment="1">
      <alignment horizontal="center"/>
    </xf>
    <xf numFmtId="0" fontId="22" fillId="9" borderId="9"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11" fillId="0" borderId="0" xfId="0" applyFont="1" applyAlignment="1">
      <alignment horizontal="center"/>
    </xf>
    <xf numFmtId="0" fontId="19" fillId="9" borderId="11"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6" xfId="0" applyFont="1" applyFill="1" applyBorder="1" applyAlignment="1">
      <alignment horizontal="center" vertical="center" wrapText="1"/>
    </xf>
    <xf numFmtId="167" fontId="5" fillId="10" borderId="0" xfId="0" applyNumberFormat="1" applyFont="1" applyFill="1" applyAlignment="1">
      <alignment horizontal="center"/>
    </xf>
    <xf numFmtId="0" fontId="10" fillId="2" borderId="0" xfId="0" applyFont="1" applyFill="1" applyAlignment="1">
      <alignment horizont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18</xdr:row>
      <xdr:rowOff>104775</xdr:rowOff>
    </xdr:from>
    <xdr:to>
      <xdr:col>5</xdr:col>
      <xdr:colOff>704850</xdr:colOff>
      <xdr:row>18</xdr:row>
      <xdr:rowOff>104775</xdr:rowOff>
    </xdr:to>
    <xdr:cxnSp macro="">
      <xdr:nvCxnSpPr>
        <xdr:cNvPr id="3" name="Conector recto de flecha 2">
          <a:extLst>
            <a:ext uri="{FF2B5EF4-FFF2-40B4-BE49-F238E27FC236}">
              <a16:creationId xmlns:a16="http://schemas.microsoft.com/office/drawing/2014/main" id="{00000000-0008-0000-0000-000003000000}"/>
            </a:ext>
          </a:extLst>
        </xdr:cNvPr>
        <xdr:cNvCxnSpPr/>
      </xdr:nvCxnSpPr>
      <xdr:spPr>
        <a:xfrm>
          <a:off x="3076575" y="3886200"/>
          <a:ext cx="143827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15</xdr:row>
      <xdr:rowOff>0</xdr:rowOff>
    </xdr:from>
    <xdr:to>
      <xdr:col>9</xdr:col>
      <xdr:colOff>752475</xdr:colOff>
      <xdr:row>15</xdr:row>
      <xdr:rowOff>0</xdr:rowOff>
    </xdr:to>
    <xdr:cxnSp macro="">
      <xdr:nvCxnSpPr>
        <xdr:cNvPr id="4" name="Conector recto de flecha 3">
          <a:extLst>
            <a:ext uri="{FF2B5EF4-FFF2-40B4-BE49-F238E27FC236}">
              <a16:creationId xmlns:a16="http://schemas.microsoft.com/office/drawing/2014/main" id="{00000000-0008-0000-0000-000004000000}"/>
            </a:ext>
          </a:extLst>
        </xdr:cNvPr>
        <xdr:cNvCxnSpPr/>
      </xdr:nvCxnSpPr>
      <xdr:spPr>
        <a:xfrm>
          <a:off x="7172325" y="3181350"/>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18</xdr:row>
      <xdr:rowOff>19050</xdr:rowOff>
    </xdr:from>
    <xdr:to>
      <xdr:col>9</xdr:col>
      <xdr:colOff>752475</xdr:colOff>
      <xdr:row>18</xdr:row>
      <xdr:rowOff>19050</xdr:rowOff>
    </xdr:to>
    <xdr:cxnSp macro="">
      <xdr:nvCxnSpPr>
        <xdr:cNvPr id="6" name="Conector recto de flecha 5">
          <a:extLst>
            <a:ext uri="{FF2B5EF4-FFF2-40B4-BE49-F238E27FC236}">
              <a16:creationId xmlns:a16="http://schemas.microsoft.com/office/drawing/2014/main" id="{00000000-0008-0000-0000-000006000000}"/>
            </a:ext>
          </a:extLst>
        </xdr:cNvPr>
        <xdr:cNvCxnSpPr/>
      </xdr:nvCxnSpPr>
      <xdr:spPr>
        <a:xfrm>
          <a:off x="7172325" y="3800475"/>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21</xdr:row>
      <xdr:rowOff>9525</xdr:rowOff>
    </xdr:from>
    <xdr:to>
      <xdr:col>9</xdr:col>
      <xdr:colOff>752475</xdr:colOff>
      <xdr:row>21</xdr:row>
      <xdr:rowOff>9525</xdr:rowOff>
    </xdr:to>
    <xdr:cxnSp macro="">
      <xdr:nvCxnSpPr>
        <xdr:cNvPr id="7" name="Conector recto de flecha 6">
          <a:extLst>
            <a:ext uri="{FF2B5EF4-FFF2-40B4-BE49-F238E27FC236}">
              <a16:creationId xmlns:a16="http://schemas.microsoft.com/office/drawing/2014/main" id="{00000000-0008-0000-0000-000007000000}"/>
            </a:ext>
          </a:extLst>
        </xdr:cNvPr>
        <xdr:cNvCxnSpPr/>
      </xdr:nvCxnSpPr>
      <xdr:spPr>
        <a:xfrm>
          <a:off x="7172325" y="4381500"/>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314325</xdr:colOff>
      <xdr:row>24</xdr:row>
      <xdr:rowOff>9525</xdr:rowOff>
    </xdr:from>
    <xdr:to>
      <xdr:col>9</xdr:col>
      <xdr:colOff>752475</xdr:colOff>
      <xdr:row>24</xdr:row>
      <xdr:rowOff>9525</xdr:rowOff>
    </xdr:to>
    <xdr:cxnSp macro="">
      <xdr:nvCxnSpPr>
        <xdr:cNvPr id="8" name="Conector recto de flecha 7">
          <a:extLst>
            <a:ext uri="{FF2B5EF4-FFF2-40B4-BE49-F238E27FC236}">
              <a16:creationId xmlns:a16="http://schemas.microsoft.com/office/drawing/2014/main" id="{00000000-0008-0000-0000-000008000000}"/>
            </a:ext>
          </a:extLst>
        </xdr:cNvPr>
        <xdr:cNvCxnSpPr/>
      </xdr:nvCxnSpPr>
      <xdr:spPr>
        <a:xfrm>
          <a:off x="7172325" y="4972050"/>
          <a:ext cx="4381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18</xdr:row>
      <xdr:rowOff>142875</xdr:rowOff>
    </xdr:from>
    <xdr:to>
      <xdr:col>9</xdr:col>
      <xdr:colOff>314325</xdr:colOff>
      <xdr:row>18</xdr:row>
      <xdr:rowOff>142875</xdr:rowOff>
    </xdr:to>
    <xdr:cxnSp macro="">
      <xdr:nvCxnSpPr>
        <xdr:cNvPr id="9" name="Conector recto de flecha 8">
          <a:extLst>
            <a:ext uri="{FF2B5EF4-FFF2-40B4-BE49-F238E27FC236}">
              <a16:creationId xmlns:a16="http://schemas.microsoft.com/office/drawing/2014/main" id="{00000000-0008-0000-0000-000009000000}"/>
            </a:ext>
          </a:extLst>
        </xdr:cNvPr>
        <xdr:cNvCxnSpPr/>
      </xdr:nvCxnSpPr>
      <xdr:spPr>
        <a:xfrm>
          <a:off x="6105525" y="3924300"/>
          <a:ext cx="1066800" cy="0"/>
        </a:xfrm>
        <a:prstGeom prst="straightConnector1">
          <a:avLst/>
        </a:prstGeom>
        <a:ln w="41275">
          <a:solidFill>
            <a:srgbClr val="002060"/>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323850</xdr:colOff>
      <xdr:row>15</xdr:row>
      <xdr:rowOff>0</xdr:rowOff>
    </xdr:from>
    <xdr:to>
      <xdr:col>9</xdr:col>
      <xdr:colOff>323850</xdr:colOff>
      <xdr:row>24</xdr:row>
      <xdr:rowOff>9525</xdr:rowOff>
    </xdr:to>
    <xdr:cxnSp macro="">
      <xdr:nvCxnSpPr>
        <xdr:cNvPr id="10" name="Conector recto de flecha 9">
          <a:extLst>
            <a:ext uri="{FF2B5EF4-FFF2-40B4-BE49-F238E27FC236}">
              <a16:creationId xmlns:a16="http://schemas.microsoft.com/office/drawing/2014/main" id="{00000000-0008-0000-0000-00000A000000}"/>
            </a:ext>
          </a:extLst>
        </xdr:cNvPr>
        <xdr:cNvCxnSpPr/>
      </xdr:nvCxnSpPr>
      <xdr:spPr>
        <a:xfrm flipV="1">
          <a:off x="7181850" y="3181350"/>
          <a:ext cx="0" cy="1790700"/>
        </a:xfrm>
        <a:prstGeom prst="straightConnector1">
          <a:avLst/>
        </a:prstGeom>
        <a:ln w="41275">
          <a:solidFill>
            <a:srgbClr val="002060"/>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372341</xdr:colOff>
      <xdr:row>30</xdr:row>
      <xdr:rowOff>86590</xdr:rowOff>
    </xdr:from>
    <xdr:to>
      <xdr:col>14</xdr:col>
      <xdr:colOff>285750</xdr:colOff>
      <xdr:row>38</xdr:row>
      <xdr:rowOff>121227</xdr:rowOff>
    </xdr:to>
    <xdr:grpSp>
      <xdr:nvGrpSpPr>
        <xdr:cNvPr id="36" name="Grupo 35">
          <a:extLst>
            <a:ext uri="{FF2B5EF4-FFF2-40B4-BE49-F238E27FC236}">
              <a16:creationId xmlns:a16="http://schemas.microsoft.com/office/drawing/2014/main" id="{00000000-0008-0000-0000-000024000000}"/>
            </a:ext>
          </a:extLst>
        </xdr:cNvPr>
        <xdr:cNvGrpSpPr/>
      </xdr:nvGrpSpPr>
      <xdr:grpSpPr>
        <a:xfrm>
          <a:off x="6909955" y="6416385"/>
          <a:ext cx="3723409" cy="1567297"/>
          <a:chOff x="7264977" y="6147954"/>
          <a:chExt cx="3723409" cy="1376796"/>
        </a:xfrm>
      </xdr:grpSpPr>
      <xdr:cxnSp macro="">
        <xdr:nvCxnSpPr>
          <xdr:cNvPr id="15" name="Conector recto de flecha 14">
            <a:extLst>
              <a:ext uri="{FF2B5EF4-FFF2-40B4-BE49-F238E27FC236}">
                <a16:creationId xmlns:a16="http://schemas.microsoft.com/office/drawing/2014/main" id="{00000000-0008-0000-0000-00000F000000}"/>
              </a:ext>
            </a:extLst>
          </xdr:cNvPr>
          <xdr:cNvCxnSpPr/>
        </xdr:nvCxnSpPr>
        <xdr:spPr>
          <a:xfrm flipV="1">
            <a:off x="7264978" y="7187045"/>
            <a:ext cx="3645477" cy="2"/>
          </a:xfrm>
          <a:prstGeom prst="straightConnector1">
            <a:avLst/>
          </a:prstGeom>
          <a:ln w="31750">
            <a:solidFill>
              <a:srgbClr val="002060"/>
            </a:solidFill>
            <a:tailEnd type="none"/>
          </a:ln>
        </xdr:spPr>
        <xdr:style>
          <a:lnRef idx="1">
            <a:schemeClr val="accent1"/>
          </a:lnRef>
          <a:fillRef idx="0">
            <a:schemeClr val="accent1"/>
          </a:fillRef>
          <a:effectRef idx="0">
            <a:schemeClr val="accent1"/>
          </a:effectRef>
          <a:fontRef idx="minor">
            <a:schemeClr val="tx1"/>
          </a:fontRef>
        </xdr:style>
      </xdr:cxnSp>
      <xdr:grpSp>
        <xdr:nvGrpSpPr>
          <xdr:cNvPr id="35" name="Grupo 34">
            <a:extLst>
              <a:ext uri="{FF2B5EF4-FFF2-40B4-BE49-F238E27FC236}">
                <a16:creationId xmlns:a16="http://schemas.microsoft.com/office/drawing/2014/main" id="{00000000-0008-0000-0000-000023000000}"/>
              </a:ext>
            </a:extLst>
          </xdr:cNvPr>
          <xdr:cNvGrpSpPr/>
        </xdr:nvGrpSpPr>
        <xdr:grpSpPr>
          <a:xfrm>
            <a:off x="7264977" y="6147954"/>
            <a:ext cx="3723409" cy="1376796"/>
            <a:chOff x="7264977" y="6147954"/>
            <a:chExt cx="3723409" cy="1376796"/>
          </a:xfrm>
        </xdr:grpSpPr>
        <xdr:grpSp>
          <xdr:nvGrpSpPr>
            <xdr:cNvPr id="34" name="Grupo 33">
              <a:extLst>
                <a:ext uri="{FF2B5EF4-FFF2-40B4-BE49-F238E27FC236}">
                  <a16:creationId xmlns:a16="http://schemas.microsoft.com/office/drawing/2014/main" id="{00000000-0008-0000-0000-000022000000}"/>
                </a:ext>
              </a:extLst>
            </xdr:cNvPr>
            <xdr:cNvGrpSpPr/>
          </xdr:nvGrpSpPr>
          <xdr:grpSpPr>
            <a:xfrm>
              <a:off x="7264977" y="6303818"/>
              <a:ext cx="3723409" cy="1220932"/>
              <a:chOff x="7264977" y="6303818"/>
              <a:chExt cx="3723409" cy="1220932"/>
            </a:xfrm>
          </xdr:grpSpPr>
          <xdr:cxnSp macro="">
            <xdr:nvCxnSpPr>
              <xdr:cNvPr id="5" name="Conector recto de flecha 4">
                <a:extLst>
                  <a:ext uri="{FF2B5EF4-FFF2-40B4-BE49-F238E27FC236}">
                    <a16:creationId xmlns:a16="http://schemas.microsoft.com/office/drawing/2014/main" id="{00000000-0008-0000-0000-000005000000}"/>
                  </a:ext>
                </a:extLst>
              </xdr:cNvPr>
              <xdr:cNvCxnSpPr/>
            </xdr:nvCxnSpPr>
            <xdr:spPr>
              <a:xfrm>
                <a:off x="7264977" y="7516091"/>
                <a:ext cx="3723409" cy="8659"/>
              </a:xfrm>
              <a:prstGeom prst="straightConnector1">
                <a:avLst/>
              </a:prstGeom>
              <a:ln w="444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ector recto de flecha 10">
                <a:extLst>
                  <a:ext uri="{FF2B5EF4-FFF2-40B4-BE49-F238E27FC236}">
                    <a16:creationId xmlns:a16="http://schemas.microsoft.com/office/drawing/2014/main" id="{00000000-0008-0000-0000-00000B000000}"/>
                  </a:ext>
                </a:extLst>
              </xdr:cNvPr>
              <xdr:cNvCxnSpPr/>
            </xdr:nvCxnSpPr>
            <xdr:spPr>
              <a:xfrm flipH="1" flipV="1">
                <a:off x="7264977" y="6303818"/>
                <a:ext cx="8659" cy="1203614"/>
              </a:xfrm>
              <a:prstGeom prst="straightConnector1">
                <a:avLst/>
              </a:prstGeom>
              <a:ln w="444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Conector recto de flecha 15">
                <a:extLst>
                  <a:ext uri="{FF2B5EF4-FFF2-40B4-BE49-F238E27FC236}">
                    <a16:creationId xmlns:a16="http://schemas.microsoft.com/office/drawing/2014/main" id="{00000000-0008-0000-0000-000010000000}"/>
                  </a:ext>
                </a:extLst>
              </xdr:cNvPr>
              <xdr:cNvCxnSpPr/>
            </xdr:nvCxnSpPr>
            <xdr:spPr>
              <a:xfrm flipH="1" flipV="1">
                <a:off x="7282296" y="6511637"/>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19" name="Conector recto de flecha 18">
                <a:extLst>
                  <a:ext uri="{FF2B5EF4-FFF2-40B4-BE49-F238E27FC236}">
                    <a16:creationId xmlns:a16="http://schemas.microsoft.com/office/drawing/2014/main" id="{00000000-0008-0000-0000-000013000000}"/>
                  </a:ext>
                </a:extLst>
              </xdr:cNvPr>
              <xdr:cNvCxnSpPr/>
            </xdr:nvCxnSpPr>
            <xdr:spPr>
              <a:xfrm flipH="1" flipV="1">
                <a:off x="8136082" y="6499514"/>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0" name="Conector recto de flecha 19">
                <a:extLst>
                  <a:ext uri="{FF2B5EF4-FFF2-40B4-BE49-F238E27FC236}">
                    <a16:creationId xmlns:a16="http://schemas.microsoft.com/office/drawing/2014/main" id="{00000000-0008-0000-0000-000014000000}"/>
                  </a:ext>
                </a:extLst>
              </xdr:cNvPr>
              <xdr:cNvCxnSpPr/>
            </xdr:nvCxnSpPr>
            <xdr:spPr>
              <a:xfrm flipH="1" flipV="1">
                <a:off x="8139545" y="6494318"/>
                <a:ext cx="17319" cy="675409"/>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3" name="Conector recto de flecha 22">
                <a:extLst>
                  <a:ext uri="{FF2B5EF4-FFF2-40B4-BE49-F238E27FC236}">
                    <a16:creationId xmlns:a16="http://schemas.microsoft.com/office/drawing/2014/main" id="{00000000-0008-0000-0000-000017000000}"/>
                  </a:ext>
                </a:extLst>
              </xdr:cNvPr>
              <xdr:cNvCxnSpPr/>
            </xdr:nvCxnSpPr>
            <xdr:spPr>
              <a:xfrm flipH="1" flipV="1">
                <a:off x="8989869" y="6496052"/>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4" name="Conector recto de flecha 23">
                <a:extLst>
                  <a:ext uri="{FF2B5EF4-FFF2-40B4-BE49-F238E27FC236}">
                    <a16:creationId xmlns:a16="http://schemas.microsoft.com/office/drawing/2014/main" id="{00000000-0008-0000-0000-000018000000}"/>
                  </a:ext>
                </a:extLst>
              </xdr:cNvPr>
              <xdr:cNvCxnSpPr/>
            </xdr:nvCxnSpPr>
            <xdr:spPr>
              <a:xfrm flipH="1" flipV="1">
                <a:off x="8993332" y="6490856"/>
                <a:ext cx="17319" cy="675409"/>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5" name="Conector recto de flecha 24">
                <a:extLst>
                  <a:ext uri="{FF2B5EF4-FFF2-40B4-BE49-F238E27FC236}">
                    <a16:creationId xmlns:a16="http://schemas.microsoft.com/office/drawing/2014/main" id="{00000000-0008-0000-0000-000019000000}"/>
                  </a:ext>
                </a:extLst>
              </xdr:cNvPr>
              <xdr:cNvCxnSpPr/>
            </xdr:nvCxnSpPr>
            <xdr:spPr>
              <a:xfrm flipH="1" flipV="1">
                <a:off x="9817678" y="6501247"/>
                <a:ext cx="848590" cy="658090"/>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de flecha 25">
                <a:extLst>
                  <a:ext uri="{FF2B5EF4-FFF2-40B4-BE49-F238E27FC236}">
                    <a16:creationId xmlns:a16="http://schemas.microsoft.com/office/drawing/2014/main" id="{00000000-0008-0000-0000-00001A000000}"/>
                  </a:ext>
                </a:extLst>
              </xdr:cNvPr>
              <xdr:cNvCxnSpPr/>
            </xdr:nvCxnSpPr>
            <xdr:spPr>
              <a:xfrm flipH="1" flipV="1">
                <a:off x="9821141" y="6496051"/>
                <a:ext cx="17319" cy="675409"/>
              </a:xfrm>
              <a:prstGeom prst="straightConnector1">
                <a:avLst/>
              </a:prstGeom>
              <a:ln w="25400">
                <a:tailEnd type="non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000-00001D000000}"/>
                  </a:ext>
                </a:extLst>
              </xdr:cNvPr>
              <xdr:cNvCxnSpPr/>
            </xdr:nvCxnSpPr>
            <xdr:spPr>
              <a:xfrm flipV="1">
                <a:off x="7270173" y="6490854"/>
                <a:ext cx="3558886" cy="2"/>
              </a:xfrm>
              <a:prstGeom prst="straightConnector1">
                <a:avLst/>
              </a:prstGeom>
              <a:ln w="34925">
                <a:solidFill>
                  <a:srgbClr val="C00000"/>
                </a:solidFill>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30" name="Rectángulo 29">
              <a:extLst>
                <a:ext uri="{FF2B5EF4-FFF2-40B4-BE49-F238E27FC236}">
                  <a16:creationId xmlns:a16="http://schemas.microsoft.com/office/drawing/2014/main" id="{00000000-0008-0000-0000-00001E000000}"/>
                </a:ext>
              </a:extLst>
            </xdr:cNvPr>
            <xdr:cNvSpPr/>
          </xdr:nvSpPr>
          <xdr:spPr>
            <a:xfrm>
              <a:off x="7334250" y="7221682"/>
              <a:ext cx="3498273" cy="277091"/>
            </a:xfrm>
            <a:prstGeom prst="rect">
              <a:avLst/>
            </a:prstGeom>
            <a:pattFill prst="pct70">
              <a:fgClr>
                <a:srgbClr val="FF99FF"/>
              </a:fgClr>
              <a:bgClr>
                <a:schemeClr val="bg1"/>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8269432" y="6147954"/>
              <a:ext cx="1773691" cy="28020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E" sz="1200" b="1"/>
                <a:t>STOCK MÁXIMO = SS + Q</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7555923" y="7209559"/>
              <a:ext cx="2555508" cy="28020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E" sz="1200" b="1"/>
                <a:t>STOCK MÍNIMO = STOCK</a:t>
              </a:r>
              <a:r>
                <a:rPr lang="es-PE" sz="1200" b="1" baseline="0"/>
                <a:t> SEGURIDAD</a:t>
              </a:r>
              <a:endParaRPr lang="es-PE" sz="1200" b="1"/>
            </a:p>
          </xdr:txBody>
        </xdr:sp>
      </xdr:grpSp>
    </xdr:grpSp>
    <xdr:clientData/>
  </xdr:twoCellAnchor>
  <xdr:twoCellAnchor>
    <xdr:from>
      <xdr:col>5</xdr:col>
      <xdr:colOff>181841</xdr:colOff>
      <xdr:row>40</xdr:row>
      <xdr:rowOff>43296</xdr:rowOff>
    </xdr:from>
    <xdr:to>
      <xdr:col>9</xdr:col>
      <xdr:colOff>34636</xdr:colOff>
      <xdr:row>42</xdr:row>
      <xdr:rowOff>29317</xdr:rowOff>
    </xdr:to>
    <mc:AlternateContent xmlns:mc="http://schemas.openxmlformats.org/markup-compatibility/2006" xmlns:a14="http://schemas.microsoft.com/office/drawing/2010/main">
      <mc:Choice Requires="a14">
        <xdr:sp macro="" textlink="">
          <xdr:nvSpPr>
            <xdr:cNvPr id="27" name="CuadroTexto 1">
              <a:extLst>
                <a:ext uri="{FF2B5EF4-FFF2-40B4-BE49-F238E27FC236}">
                  <a16:creationId xmlns:a16="http://schemas.microsoft.com/office/drawing/2014/main" id="{00000000-0008-0000-0000-00001B000000}"/>
                </a:ext>
              </a:extLst>
            </xdr:cNvPr>
            <xdr:cNvSpPr txBox="1"/>
          </xdr:nvSpPr>
          <xdr:spPr>
            <a:xfrm>
              <a:off x="3671455" y="8148205"/>
              <a:ext cx="2900795"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𝑃𝑅𝑂</m:t>
                    </m:r>
                    <m:r>
                      <a:rPr lang="es-PE" sz="2400" i="0">
                        <a:latin typeface="Cambria Math" panose="02040503050406030204" pitchFamily="18" charset="0"/>
                      </a:rPr>
                      <m:t>=</m:t>
                    </m:r>
                    <m:r>
                      <a:rPr lang="es-PE" sz="2400" i="1">
                        <a:latin typeface="Cambria Math" panose="02040503050406030204" pitchFamily="18" charset="0"/>
                      </a:rPr>
                      <m:t>𝑑</m:t>
                    </m:r>
                    <m:r>
                      <a:rPr lang="es-PE" sz="2400" i="0">
                        <a:latin typeface="Cambria Math" panose="02040503050406030204" pitchFamily="18" charset="0"/>
                      </a:rPr>
                      <m:t>×</m:t>
                    </m:r>
                    <m:r>
                      <a:rPr lang="es-PE" sz="2400" i="1">
                        <a:latin typeface="Cambria Math" panose="02040503050406030204" pitchFamily="18" charset="0"/>
                      </a:rPr>
                      <m:t>𝑇𝐸</m:t>
                    </m:r>
                    <m:r>
                      <a:rPr lang="es-PE" sz="2400" i="0">
                        <a:latin typeface="Cambria Math" panose="02040503050406030204" pitchFamily="18" charset="0"/>
                      </a:rPr>
                      <m:t>+</m:t>
                    </m:r>
                    <m:r>
                      <a:rPr lang="es-PE" sz="2400" i="1">
                        <a:latin typeface="Cambria Math" panose="02040503050406030204" pitchFamily="18" charset="0"/>
                      </a:rPr>
                      <m:t>𝑆𝑆</m:t>
                    </m:r>
                  </m:oMath>
                </m:oMathPara>
              </a14:m>
              <a:endParaRPr lang="es-PE" sz="2400"/>
            </a:p>
          </xdr:txBody>
        </xdr:sp>
      </mc:Choice>
      <mc:Fallback xmlns="">
        <xdr:sp macro="" textlink="">
          <xdr:nvSpPr>
            <xdr:cNvPr id="27" name="CuadroTexto 1">
              <a:extLst>
                <a:ext uri="{FF2B5EF4-FFF2-40B4-BE49-F238E27FC236}">
                  <a16:creationId xmlns:a16="http://schemas.microsoft.com/office/drawing/2014/main" id="{27FDDCBC-39AD-4281-A042-64D1FA826973}"/>
                </a:ext>
              </a:extLst>
            </xdr:cNvPr>
            <xdr:cNvSpPr txBox="1"/>
          </xdr:nvSpPr>
          <xdr:spPr>
            <a:xfrm>
              <a:off x="3671455" y="8148205"/>
              <a:ext cx="2900795"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𝑃𝑅𝑂=𝑑×𝑇𝐸+𝑆𝑆</a:t>
              </a:r>
              <a:endParaRPr lang="es-PE" sz="2400"/>
            </a:p>
          </xdr:txBody>
        </xdr:sp>
      </mc:Fallback>
    </mc:AlternateContent>
    <xdr:clientData/>
  </xdr:twoCellAnchor>
  <xdr:twoCellAnchor>
    <xdr:from>
      <xdr:col>9</xdr:col>
      <xdr:colOff>701387</xdr:colOff>
      <xdr:row>40</xdr:row>
      <xdr:rowOff>43296</xdr:rowOff>
    </xdr:from>
    <xdr:to>
      <xdr:col>10</xdr:col>
      <xdr:colOff>684068</xdr:colOff>
      <xdr:row>42</xdr:row>
      <xdr:rowOff>114661</xdr:rowOff>
    </xdr:to>
    <mc:AlternateContent xmlns:mc="http://schemas.openxmlformats.org/markup-compatibility/2006" xmlns:a14="http://schemas.microsoft.com/office/drawing/2010/main">
      <mc:Choice Requires="a14">
        <xdr:sp macro="" textlink="">
          <xdr:nvSpPr>
            <xdr:cNvPr id="28" name="CuadroTexto 2">
              <a:extLst>
                <a:ext uri="{FF2B5EF4-FFF2-40B4-BE49-F238E27FC236}">
                  <a16:creationId xmlns:a16="http://schemas.microsoft.com/office/drawing/2014/main" id="{00000000-0008-0000-0000-00001C000000}"/>
                </a:ext>
              </a:extLst>
            </xdr:cNvPr>
            <xdr:cNvSpPr txBox="1"/>
          </xdr:nvSpPr>
          <xdr:spPr>
            <a:xfrm>
              <a:off x="7239001" y="8148205"/>
              <a:ext cx="744681" cy="46102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600" b="1" i="1">
                        <a:latin typeface="Cambria Math" panose="02040503050406030204" pitchFamily="18" charset="0"/>
                      </a:rPr>
                      <m:t>𝑻</m:t>
                    </m:r>
                    <m:r>
                      <a:rPr lang="es-PE" sz="1600" b="1" i="0">
                        <a:latin typeface="Cambria Math" panose="02040503050406030204" pitchFamily="18" charset="0"/>
                      </a:rPr>
                      <m:t>=</m:t>
                    </m:r>
                    <m:f>
                      <m:fPr>
                        <m:ctrlPr>
                          <a:rPr lang="es-PE" sz="1600" b="1" i="1">
                            <a:latin typeface="Cambria Math" panose="02040503050406030204" pitchFamily="18" charset="0"/>
                          </a:rPr>
                        </m:ctrlPr>
                      </m:fPr>
                      <m:num>
                        <m:r>
                          <a:rPr lang="es-PE" sz="1600" b="1" i="1">
                            <a:latin typeface="Cambria Math" panose="02040503050406030204" pitchFamily="18" charset="0"/>
                          </a:rPr>
                          <m:t>𝑸</m:t>
                        </m:r>
                      </m:num>
                      <m:den>
                        <m:r>
                          <a:rPr lang="es-PE" sz="1600" b="1" i="1">
                            <a:latin typeface="Cambria Math" panose="02040503050406030204" pitchFamily="18" charset="0"/>
                          </a:rPr>
                          <m:t>𝑫</m:t>
                        </m:r>
                      </m:den>
                    </m:f>
                  </m:oMath>
                </m:oMathPara>
              </a14:m>
              <a:endParaRPr lang="es-PE" sz="1600" b="1"/>
            </a:p>
          </xdr:txBody>
        </xdr:sp>
      </mc:Choice>
      <mc:Fallback xmlns="">
        <xdr:sp macro="" textlink="">
          <xdr:nvSpPr>
            <xdr:cNvPr id="28" name="CuadroTexto 2">
              <a:extLst>
                <a:ext uri="{FF2B5EF4-FFF2-40B4-BE49-F238E27FC236}">
                  <a16:creationId xmlns:a16="http://schemas.microsoft.com/office/drawing/2014/main" id="{6F1DD260-9FE3-4960-A139-6B263F196096}"/>
                </a:ext>
              </a:extLst>
            </xdr:cNvPr>
            <xdr:cNvSpPr txBox="1"/>
          </xdr:nvSpPr>
          <xdr:spPr>
            <a:xfrm>
              <a:off x="7239001" y="8148205"/>
              <a:ext cx="744681" cy="46102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b="1" i="0">
                  <a:latin typeface="Cambria Math" panose="02040503050406030204" pitchFamily="18" charset="0"/>
                </a:rPr>
                <a:t>𝑻=𝑸/𝑫</a:t>
              </a:r>
              <a:endParaRPr lang="es-PE" sz="1600" b="1"/>
            </a:p>
          </xdr:txBody>
        </xdr:sp>
      </mc:Fallback>
    </mc:AlternateContent>
    <xdr:clientData/>
  </xdr:twoCellAnchor>
  <xdr:twoCellAnchor>
    <xdr:from>
      <xdr:col>5</xdr:col>
      <xdr:colOff>251113</xdr:colOff>
      <xdr:row>27</xdr:row>
      <xdr:rowOff>17319</xdr:rowOff>
    </xdr:from>
    <xdr:to>
      <xdr:col>6</xdr:col>
      <xdr:colOff>467590</xdr:colOff>
      <xdr:row>30</xdr:row>
      <xdr:rowOff>69417</xdr:rowOff>
    </xdr:to>
    <mc:AlternateContent xmlns:mc="http://schemas.openxmlformats.org/markup-compatibility/2006" xmlns:a14="http://schemas.microsoft.com/office/drawing/2010/main">
      <mc:Choice Requires="a14">
        <xdr:sp macro="" textlink="">
          <xdr:nvSpPr>
            <xdr:cNvPr id="33" name="CuadroTexto 14">
              <a:extLst>
                <a:ext uri="{FF2B5EF4-FFF2-40B4-BE49-F238E27FC236}">
                  <a16:creationId xmlns:a16="http://schemas.microsoft.com/office/drawing/2014/main" id="{00000000-0008-0000-0000-000021000000}"/>
                </a:ext>
              </a:extLst>
            </xdr:cNvPr>
            <xdr:cNvSpPr txBox="1"/>
          </xdr:nvSpPr>
          <xdr:spPr>
            <a:xfrm>
              <a:off x="3740727" y="5671705"/>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600" i="1">
                        <a:latin typeface="Cambria Math" panose="02040503050406030204" pitchFamily="18" charset="0"/>
                      </a:rPr>
                      <m:t>𝑄</m:t>
                    </m:r>
                    <m:r>
                      <a:rPr lang="es-PE" sz="1600" i="0">
                        <a:latin typeface="Cambria Math" panose="02040503050406030204" pitchFamily="18" charset="0"/>
                      </a:rPr>
                      <m:t>=</m:t>
                    </m:r>
                    <m:rad>
                      <m:radPr>
                        <m:degHide m:val="on"/>
                        <m:ctrlPr>
                          <a:rPr lang="es-PE" sz="1600" i="1">
                            <a:latin typeface="Cambria Math" panose="02040503050406030204" pitchFamily="18" charset="0"/>
                          </a:rPr>
                        </m:ctrlPr>
                      </m:radPr>
                      <m:deg/>
                      <m:e>
                        <m:f>
                          <m:fPr>
                            <m:ctrlPr>
                              <a:rPr lang="es-PE" sz="1600" i="1">
                                <a:latin typeface="Cambria Math" panose="02040503050406030204" pitchFamily="18" charset="0"/>
                              </a:rPr>
                            </m:ctrlPr>
                          </m:fPr>
                          <m:num>
                            <m:r>
                              <a:rPr lang="es-PE" sz="1600" i="0">
                                <a:latin typeface="Cambria Math" panose="02040503050406030204" pitchFamily="18" charset="0"/>
                              </a:rPr>
                              <m:t>2</m:t>
                            </m:r>
                            <m:r>
                              <a:rPr lang="es-PE" sz="1600" i="1">
                                <a:latin typeface="Cambria Math" panose="02040503050406030204" pitchFamily="18" charset="0"/>
                              </a:rPr>
                              <m:t>𝐷𝑆</m:t>
                            </m:r>
                          </m:num>
                          <m:den>
                            <m:r>
                              <a:rPr lang="es-PE" sz="1600" i="1">
                                <a:latin typeface="Cambria Math" panose="02040503050406030204" pitchFamily="18" charset="0"/>
                              </a:rPr>
                              <m:t>𝐼𝐶</m:t>
                            </m:r>
                          </m:den>
                        </m:f>
                      </m:e>
                    </m:rad>
                  </m:oMath>
                </m:oMathPara>
              </a14:m>
              <a:endParaRPr lang="es-PE" sz="2400"/>
            </a:p>
          </xdr:txBody>
        </xdr:sp>
      </mc:Choice>
      <mc:Fallback xmlns="">
        <xdr:sp macro="" textlink="">
          <xdr:nvSpPr>
            <xdr:cNvPr id="33" name="CuadroTexto 14">
              <a:extLst>
                <a:ext uri="{FF2B5EF4-FFF2-40B4-BE49-F238E27FC236}">
                  <a16:creationId xmlns:a16="http://schemas.microsoft.com/office/drawing/2014/main" id="{F91D3E0E-B6AA-4342-AFA7-48D868431851}"/>
                </a:ext>
              </a:extLst>
            </xdr:cNvPr>
            <xdr:cNvSpPr txBox="1"/>
          </xdr:nvSpPr>
          <xdr:spPr>
            <a:xfrm>
              <a:off x="3740727" y="5671705"/>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i="0">
                  <a:latin typeface="Cambria Math" panose="02040503050406030204" pitchFamily="18" charset="0"/>
                </a:rPr>
                <a:t>𝑄=√(2𝐷𝑆/𝐼𝐶)</a:t>
              </a:r>
              <a:endParaRPr lang="es-PE" sz="2400"/>
            </a:p>
          </xdr:txBody>
        </xdr:sp>
      </mc:Fallback>
    </mc:AlternateContent>
    <xdr:clientData/>
  </xdr:twoCellAnchor>
  <xdr:twoCellAnchor>
    <xdr:from>
      <xdr:col>5</xdr:col>
      <xdr:colOff>8660</xdr:colOff>
      <xdr:row>33</xdr:row>
      <xdr:rowOff>17319</xdr:rowOff>
    </xdr:from>
    <xdr:to>
      <xdr:col>6</xdr:col>
      <xdr:colOff>406978</xdr:colOff>
      <xdr:row>36</xdr:row>
      <xdr:rowOff>138547</xdr:rowOff>
    </xdr:to>
    <mc:AlternateContent xmlns:mc="http://schemas.openxmlformats.org/markup-compatibility/2006" xmlns:a14="http://schemas.microsoft.com/office/drawing/2010/main">
      <mc:Choice Requires="a14">
        <xdr:sp macro="" textlink="">
          <xdr:nvSpPr>
            <xdr:cNvPr id="37" name="CuadroTexto 7">
              <a:extLst>
                <a:ext uri="{FF2B5EF4-FFF2-40B4-BE49-F238E27FC236}">
                  <a16:creationId xmlns:a16="http://schemas.microsoft.com/office/drawing/2014/main" id="{00000000-0008-0000-0000-000025000000}"/>
                </a:ext>
              </a:extLst>
            </xdr:cNvPr>
            <xdr:cNvSpPr txBox="1"/>
          </xdr:nvSpPr>
          <xdr:spPr>
            <a:xfrm>
              <a:off x="3498274" y="691861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𝟏</m:t>
                            </m:r>
                          </m:sub>
                        </m:sSub>
                      </m:num>
                      <m:den>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𝟐</m:t>
                            </m:r>
                          </m:sub>
                        </m:sSub>
                      </m:den>
                    </m:f>
                    <m:r>
                      <a:rPr lang="es-PE" sz="1400" b="1" i="0">
                        <a:latin typeface="Cambria Math" panose="02040503050406030204" pitchFamily="18" charset="0"/>
                      </a:rPr>
                      <m:t>=</m:t>
                    </m:r>
                    <m:rad>
                      <m:radPr>
                        <m:degHide m:val="on"/>
                        <m:ctrlPr>
                          <a:rPr lang="es-PE" sz="1400" b="1" i="1">
                            <a:latin typeface="Cambria Math" panose="02040503050406030204" pitchFamily="18" charset="0"/>
                          </a:rPr>
                        </m:ctrlPr>
                      </m:radPr>
                      <m:deg/>
                      <m:e>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𝑻</m:t>
                                </m:r>
                              </m:e>
                              <m:sub>
                                <m:r>
                                  <a:rPr lang="es-PE" sz="1400" b="1" i="0">
                                    <a:latin typeface="Cambria Math" panose="02040503050406030204" pitchFamily="18" charset="0"/>
                                  </a:rPr>
                                  <m:t>𝟏</m:t>
                                </m:r>
                              </m:sub>
                            </m:sSub>
                          </m:num>
                          <m:den>
                            <m:r>
                              <a:rPr lang="es-PE" sz="1400" b="1" i="1">
                                <a:latin typeface="Cambria Math" panose="02040503050406030204" pitchFamily="18" charset="0"/>
                              </a:rPr>
                              <m:t>𝑻𝑬</m:t>
                            </m:r>
                          </m:den>
                        </m:f>
                      </m:e>
                    </m:rad>
                  </m:oMath>
                </m:oMathPara>
              </a14:m>
              <a:endParaRPr lang="es-PE" sz="1400" b="1"/>
            </a:p>
          </xdr:txBody>
        </xdr:sp>
      </mc:Choice>
      <mc:Fallback xmlns="">
        <xdr:sp macro="" textlink="">
          <xdr:nvSpPr>
            <xdr:cNvPr id="37" name="CuadroTexto 7">
              <a:extLst>
                <a:ext uri="{FF2B5EF4-FFF2-40B4-BE49-F238E27FC236}">
                  <a16:creationId xmlns:a16="http://schemas.microsoft.com/office/drawing/2014/main" id="{EF172DA5-B84A-4A90-9D10-ED46782D701A}"/>
                </a:ext>
              </a:extLst>
            </xdr:cNvPr>
            <xdr:cNvSpPr txBox="1"/>
          </xdr:nvSpPr>
          <xdr:spPr>
            <a:xfrm>
              <a:off x="3498274" y="691861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400" b="1" i="0">
                  <a:latin typeface="Cambria Math" panose="02040503050406030204" pitchFamily="18" charset="0"/>
                </a:rPr>
                <a:t>𝝈_𝟏/𝝈_𝟐 =√(𝑻_𝟏/𝑻𝑬)</a:t>
              </a:r>
              <a:endParaRPr lang="es-PE" sz="1400" b="1"/>
            </a:p>
          </xdr:txBody>
        </xdr:sp>
      </mc:Fallback>
    </mc:AlternateContent>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28575</xdr:colOff>
      <xdr:row>12</xdr:row>
      <xdr:rowOff>118629</xdr:rowOff>
    </xdr:from>
    <xdr:to>
      <xdr:col>13</xdr:col>
      <xdr:colOff>0</xdr:colOff>
      <xdr:row>12</xdr:row>
      <xdr:rowOff>118629</xdr:rowOff>
    </xdr:to>
    <xdr:cxnSp macro="">
      <xdr:nvCxnSpPr>
        <xdr:cNvPr id="2" name="Conector recto de flecha 1">
          <a:extLst>
            <a:ext uri="{FF2B5EF4-FFF2-40B4-BE49-F238E27FC236}">
              <a16:creationId xmlns:a16="http://schemas.microsoft.com/office/drawing/2014/main" id="{00000000-0008-0000-0A00-000002000000}"/>
            </a:ext>
          </a:extLst>
        </xdr:cNvPr>
        <xdr:cNvCxnSpPr/>
      </xdr:nvCxnSpPr>
      <xdr:spPr>
        <a:xfrm>
          <a:off x="9182100" y="2604654"/>
          <a:ext cx="73342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187044</xdr:colOff>
      <xdr:row>13</xdr:row>
      <xdr:rowOff>9525</xdr:rowOff>
    </xdr:from>
    <xdr:to>
      <xdr:col>12</xdr:col>
      <xdr:colOff>559376</xdr:colOff>
      <xdr:row>14</xdr:row>
      <xdr:rowOff>130496</xdr:rowOff>
    </xdr:to>
    <xdr:grpSp>
      <xdr:nvGrpSpPr>
        <xdr:cNvPr id="3" name="30 Grupo">
          <a:extLst>
            <a:ext uri="{FF2B5EF4-FFF2-40B4-BE49-F238E27FC236}">
              <a16:creationId xmlns:a16="http://schemas.microsoft.com/office/drawing/2014/main" id="{00000000-0008-0000-0A00-000003000000}"/>
            </a:ext>
          </a:extLst>
        </xdr:cNvPr>
        <xdr:cNvGrpSpPr/>
      </xdr:nvGrpSpPr>
      <xdr:grpSpPr>
        <a:xfrm>
          <a:off x="9183839" y="2789093"/>
          <a:ext cx="372332" cy="320130"/>
          <a:chOff x="5868144" y="5710631"/>
          <a:chExt cx="1152128" cy="874147"/>
        </a:xfrm>
      </xdr:grpSpPr>
      <xdr:cxnSp macro="">
        <xdr:nvCxnSpPr>
          <xdr:cNvPr id="4" name="8 Conector recto">
            <a:extLst>
              <a:ext uri="{FF2B5EF4-FFF2-40B4-BE49-F238E27FC236}">
                <a16:creationId xmlns:a16="http://schemas.microsoft.com/office/drawing/2014/main" id="{00000000-0008-0000-0A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A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A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A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A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A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A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38100</xdr:colOff>
      <xdr:row>12</xdr:row>
      <xdr:rowOff>114300</xdr:rowOff>
    </xdr:from>
    <xdr:to>
      <xdr:col>9</xdr:col>
      <xdr:colOff>685800</xdr:colOff>
      <xdr:row>12</xdr:row>
      <xdr:rowOff>118629</xdr:rowOff>
    </xdr:to>
    <xdr:cxnSp macro="">
      <xdr:nvCxnSpPr>
        <xdr:cNvPr id="11" name="Conector recto de flecha 10">
          <a:extLst>
            <a:ext uri="{FF2B5EF4-FFF2-40B4-BE49-F238E27FC236}">
              <a16:creationId xmlns:a16="http://schemas.microsoft.com/office/drawing/2014/main" id="{00000000-0008-0000-0A00-00000B000000}"/>
            </a:ext>
          </a:extLst>
        </xdr:cNvPr>
        <xdr:cNvCxnSpPr/>
      </xdr:nvCxnSpPr>
      <xdr:spPr>
        <a:xfrm flipV="1">
          <a:off x="6134100" y="2600325"/>
          <a:ext cx="1409700" cy="4329"/>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101319</xdr:colOff>
      <xdr:row>13</xdr:row>
      <xdr:rowOff>28575</xdr:rowOff>
    </xdr:from>
    <xdr:to>
      <xdr:col>9</xdr:col>
      <xdr:colOff>473651</xdr:colOff>
      <xdr:row>14</xdr:row>
      <xdr:rowOff>149546</xdr:rowOff>
    </xdr:to>
    <xdr:grpSp>
      <xdr:nvGrpSpPr>
        <xdr:cNvPr id="12" name="30 Grupo">
          <a:extLst>
            <a:ext uri="{FF2B5EF4-FFF2-40B4-BE49-F238E27FC236}">
              <a16:creationId xmlns:a16="http://schemas.microsoft.com/office/drawing/2014/main" id="{00000000-0008-0000-0A00-00000C000000}"/>
            </a:ext>
          </a:extLst>
        </xdr:cNvPr>
        <xdr:cNvGrpSpPr/>
      </xdr:nvGrpSpPr>
      <xdr:grpSpPr>
        <a:xfrm>
          <a:off x="6803455" y="2808143"/>
          <a:ext cx="372332" cy="320130"/>
          <a:chOff x="5868144" y="5710631"/>
          <a:chExt cx="1152128" cy="874147"/>
        </a:xfrm>
      </xdr:grpSpPr>
      <xdr:cxnSp macro="">
        <xdr:nvCxnSpPr>
          <xdr:cNvPr id="13" name="8 Conector recto">
            <a:extLst>
              <a:ext uri="{FF2B5EF4-FFF2-40B4-BE49-F238E27FC236}">
                <a16:creationId xmlns:a16="http://schemas.microsoft.com/office/drawing/2014/main" id="{00000000-0008-0000-0A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0A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0A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0A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0A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0A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0A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482311</xdr:colOff>
      <xdr:row>10</xdr:row>
      <xdr:rowOff>8660</xdr:rowOff>
    </xdr:from>
    <xdr:to>
      <xdr:col>9</xdr:col>
      <xdr:colOff>300470</xdr:colOff>
      <xdr:row>11</xdr:row>
      <xdr:rowOff>129021</xdr:rowOff>
    </xdr:to>
    <xdr:grpSp>
      <xdr:nvGrpSpPr>
        <xdr:cNvPr id="20" name="Grupo 19">
          <a:extLst>
            <a:ext uri="{FF2B5EF4-FFF2-40B4-BE49-F238E27FC236}">
              <a16:creationId xmlns:a16="http://schemas.microsoft.com/office/drawing/2014/main" id="{00000000-0008-0000-0A00-000014000000}"/>
            </a:ext>
          </a:extLst>
        </xdr:cNvPr>
        <xdr:cNvGrpSpPr/>
      </xdr:nvGrpSpPr>
      <xdr:grpSpPr>
        <a:xfrm>
          <a:off x="6422447" y="2104160"/>
          <a:ext cx="580159" cy="423429"/>
          <a:chOff x="2933700" y="1514475"/>
          <a:chExt cx="1647824" cy="857250"/>
        </a:xfrm>
      </xdr:grpSpPr>
      <xdr:sp macro="" textlink="">
        <xdr:nvSpPr>
          <xdr:cNvPr id="21" name="Rectángulo 20">
            <a:extLst>
              <a:ext uri="{FF2B5EF4-FFF2-40B4-BE49-F238E27FC236}">
                <a16:creationId xmlns:a16="http://schemas.microsoft.com/office/drawing/2014/main" id="{00000000-0008-0000-0A00-000015000000}"/>
              </a:ext>
            </a:extLst>
          </xdr:cNvPr>
          <xdr:cNvSpPr/>
        </xdr:nvSpPr>
        <xdr:spPr>
          <a:xfrm>
            <a:off x="2933700" y="1514475"/>
            <a:ext cx="1228726" cy="600075"/>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22" name="Elipse 21">
            <a:extLst>
              <a:ext uri="{FF2B5EF4-FFF2-40B4-BE49-F238E27FC236}">
                <a16:creationId xmlns:a16="http://schemas.microsoft.com/office/drawing/2014/main" id="{00000000-0008-0000-0A00-000016000000}"/>
              </a:ext>
            </a:extLst>
          </xdr:cNvPr>
          <xdr:cNvSpPr/>
        </xdr:nvSpPr>
        <xdr:spPr>
          <a:xfrm>
            <a:off x="3343275"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23" name="Elipse 22">
            <a:extLst>
              <a:ext uri="{FF2B5EF4-FFF2-40B4-BE49-F238E27FC236}">
                <a16:creationId xmlns:a16="http://schemas.microsoft.com/office/drawing/2014/main" id="{00000000-0008-0000-0A00-000017000000}"/>
              </a:ext>
            </a:extLst>
          </xdr:cNvPr>
          <xdr:cNvSpPr/>
        </xdr:nvSpPr>
        <xdr:spPr>
          <a:xfrm>
            <a:off x="3810000"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24" name="Rectángulo: esquinas redondeadas 23">
            <a:extLst>
              <a:ext uri="{FF2B5EF4-FFF2-40B4-BE49-F238E27FC236}">
                <a16:creationId xmlns:a16="http://schemas.microsoft.com/office/drawing/2014/main" id="{00000000-0008-0000-0A00-000018000000}"/>
              </a:ext>
            </a:extLst>
          </xdr:cNvPr>
          <xdr:cNvSpPr/>
        </xdr:nvSpPr>
        <xdr:spPr>
          <a:xfrm>
            <a:off x="4200525" y="1685925"/>
            <a:ext cx="380999" cy="409575"/>
          </a:xfrm>
          <a:prstGeom prst="round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25" name="Elipse 24">
            <a:extLst>
              <a:ext uri="{FF2B5EF4-FFF2-40B4-BE49-F238E27FC236}">
                <a16:creationId xmlns:a16="http://schemas.microsoft.com/office/drawing/2014/main" id="{00000000-0008-0000-0A00-000019000000}"/>
              </a:ext>
            </a:extLst>
          </xdr:cNvPr>
          <xdr:cNvSpPr/>
        </xdr:nvSpPr>
        <xdr:spPr>
          <a:xfrm>
            <a:off x="42672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26" name="Elipse 25">
            <a:extLst>
              <a:ext uri="{FF2B5EF4-FFF2-40B4-BE49-F238E27FC236}">
                <a16:creationId xmlns:a16="http://schemas.microsoft.com/office/drawing/2014/main" id="{00000000-0008-0000-0A00-00001A000000}"/>
              </a:ext>
            </a:extLst>
          </xdr:cNvPr>
          <xdr:cNvSpPr/>
        </xdr:nvSpPr>
        <xdr:spPr>
          <a:xfrm>
            <a:off x="30480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grpSp>
    <xdr:clientData/>
  </xdr:twoCellAnchor>
  <xdr:twoCellAnchor>
    <xdr:from>
      <xdr:col>6</xdr:col>
      <xdr:colOff>371475</xdr:colOff>
      <xdr:row>14</xdr:row>
      <xdr:rowOff>123825</xdr:rowOff>
    </xdr:from>
    <xdr:to>
      <xdr:col>7</xdr:col>
      <xdr:colOff>323850</xdr:colOff>
      <xdr:row>18</xdr:row>
      <xdr:rowOff>47625</xdr:rowOff>
    </xdr:to>
    <xdr:grpSp>
      <xdr:nvGrpSpPr>
        <xdr:cNvPr id="27" name="Grupo 26">
          <a:extLst>
            <a:ext uri="{FF2B5EF4-FFF2-40B4-BE49-F238E27FC236}">
              <a16:creationId xmlns:a16="http://schemas.microsoft.com/office/drawing/2014/main" id="{00000000-0008-0000-0A00-00001B000000}"/>
            </a:ext>
          </a:extLst>
        </xdr:cNvPr>
        <xdr:cNvGrpSpPr/>
      </xdr:nvGrpSpPr>
      <xdr:grpSpPr>
        <a:xfrm>
          <a:off x="4787611" y="3102552"/>
          <a:ext cx="714375" cy="763732"/>
          <a:chOff x="1104900" y="2724150"/>
          <a:chExt cx="1504950" cy="1371600"/>
        </a:xfrm>
      </xdr:grpSpPr>
      <xdr:sp macro="" textlink="">
        <xdr:nvSpPr>
          <xdr:cNvPr id="28" name="Rectángulo 27">
            <a:extLst>
              <a:ext uri="{FF2B5EF4-FFF2-40B4-BE49-F238E27FC236}">
                <a16:creationId xmlns:a16="http://schemas.microsoft.com/office/drawing/2014/main" id="{00000000-0008-0000-0A00-00001C000000}"/>
              </a:ext>
            </a:extLst>
          </xdr:cNvPr>
          <xdr:cNvSpPr/>
        </xdr:nvSpPr>
        <xdr:spPr>
          <a:xfrm>
            <a:off x="1638300" y="2724150"/>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29" name="Rectángulo 28">
            <a:extLst>
              <a:ext uri="{FF2B5EF4-FFF2-40B4-BE49-F238E27FC236}">
                <a16:creationId xmlns:a16="http://schemas.microsoft.com/office/drawing/2014/main" id="{00000000-0008-0000-0A00-00001D000000}"/>
              </a:ext>
            </a:extLst>
          </xdr:cNvPr>
          <xdr:cNvSpPr/>
        </xdr:nvSpPr>
        <xdr:spPr>
          <a:xfrm>
            <a:off x="1371600" y="3219450"/>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0" name="Rectángulo 29">
            <a:extLst>
              <a:ext uri="{FF2B5EF4-FFF2-40B4-BE49-F238E27FC236}">
                <a16:creationId xmlns:a16="http://schemas.microsoft.com/office/drawing/2014/main" id="{00000000-0008-0000-0A00-00001E000000}"/>
              </a:ext>
            </a:extLst>
          </xdr:cNvPr>
          <xdr:cNvSpPr/>
        </xdr:nvSpPr>
        <xdr:spPr>
          <a:xfrm>
            <a:off x="1914525" y="3219450"/>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1" name="Rectángulo 30">
            <a:extLst>
              <a:ext uri="{FF2B5EF4-FFF2-40B4-BE49-F238E27FC236}">
                <a16:creationId xmlns:a16="http://schemas.microsoft.com/office/drawing/2014/main" id="{00000000-0008-0000-0A00-00001F000000}"/>
              </a:ext>
            </a:extLst>
          </xdr:cNvPr>
          <xdr:cNvSpPr/>
        </xdr:nvSpPr>
        <xdr:spPr>
          <a:xfrm>
            <a:off x="1104900" y="3705225"/>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2" name="Rectángulo 31">
            <a:extLst>
              <a:ext uri="{FF2B5EF4-FFF2-40B4-BE49-F238E27FC236}">
                <a16:creationId xmlns:a16="http://schemas.microsoft.com/office/drawing/2014/main" id="{00000000-0008-0000-0A00-000020000000}"/>
              </a:ext>
            </a:extLst>
          </xdr:cNvPr>
          <xdr:cNvSpPr/>
        </xdr:nvSpPr>
        <xdr:spPr>
          <a:xfrm>
            <a:off x="1647825" y="3705225"/>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33" name="Rectángulo 32">
            <a:extLst>
              <a:ext uri="{FF2B5EF4-FFF2-40B4-BE49-F238E27FC236}">
                <a16:creationId xmlns:a16="http://schemas.microsoft.com/office/drawing/2014/main" id="{00000000-0008-0000-0A00-000021000000}"/>
              </a:ext>
            </a:extLst>
          </xdr:cNvPr>
          <xdr:cNvSpPr/>
        </xdr:nvSpPr>
        <xdr:spPr>
          <a:xfrm>
            <a:off x="2181225" y="3705225"/>
            <a:ext cx="428625" cy="390525"/>
          </a:xfrm>
          <a:prstGeom prst="rect">
            <a:avLst/>
          </a:prstGeom>
          <a:solidFill>
            <a:srgbClr val="C0000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47625</xdr:colOff>
      <xdr:row>12</xdr:row>
      <xdr:rowOff>0</xdr:rowOff>
    </xdr:from>
    <xdr:to>
      <xdr:col>5</xdr:col>
      <xdr:colOff>685800</xdr:colOff>
      <xdr:row>12</xdr:row>
      <xdr:rowOff>9527</xdr:rowOff>
    </xdr:to>
    <xdr:cxnSp macro="">
      <xdr:nvCxnSpPr>
        <xdr:cNvPr id="2" name="Conector recto de flecha 1">
          <a:extLst>
            <a:ext uri="{FF2B5EF4-FFF2-40B4-BE49-F238E27FC236}">
              <a16:creationId xmlns:a16="http://schemas.microsoft.com/office/drawing/2014/main" id="{00000000-0008-0000-0700-000002000000}"/>
            </a:ext>
          </a:extLst>
        </xdr:cNvPr>
        <xdr:cNvCxnSpPr/>
      </xdr:nvCxnSpPr>
      <xdr:spPr>
        <a:xfrm flipV="1">
          <a:off x="3095625" y="2295525"/>
          <a:ext cx="1400175" cy="9527"/>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12</xdr:row>
      <xdr:rowOff>9525</xdr:rowOff>
    </xdr:from>
    <xdr:to>
      <xdr:col>8</xdr:col>
      <xdr:colOff>9525</xdr:colOff>
      <xdr:row>12</xdr:row>
      <xdr:rowOff>9525</xdr:rowOff>
    </xdr:to>
    <xdr:cxnSp macro="">
      <xdr:nvCxnSpPr>
        <xdr:cNvPr id="3" name="Conector recto de flecha 2">
          <a:extLst>
            <a:ext uri="{FF2B5EF4-FFF2-40B4-BE49-F238E27FC236}">
              <a16:creationId xmlns:a16="http://schemas.microsoft.com/office/drawing/2014/main" id="{00000000-0008-0000-0700-000003000000}"/>
            </a:ext>
          </a:extLst>
        </xdr:cNvPr>
        <xdr:cNvCxnSpPr/>
      </xdr:nvCxnSpPr>
      <xdr:spPr>
        <a:xfrm>
          <a:off x="5467350" y="2305050"/>
          <a:ext cx="73342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167994</xdr:colOff>
      <xdr:row>11</xdr:row>
      <xdr:rowOff>43296</xdr:rowOff>
    </xdr:from>
    <xdr:to>
      <xdr:col>8</xdr:col>
      <xdr:colOff>540326</xdr:colOff>
      <xdr:row>12</xdr:row>
      <xdr:rowOff>173792</xdr:rowOff>
    </xdr:to>
    <xdr:grpSp>
      <xdr:nvGrpSpPr>
        <xdr:cNvPr id="4" name="30 Grupo">
          <a:extLst>
            <a:ext uri="{FF2B5EF4-FFF2-40B4-BE49-F238E27FC236}">
              <a16:creationId xmlns:a16="http://schemas.microsoft.com/office/drawing/2014/main" id="{00000000-0008-0000-0700-000004000000}"/>
            </a:ext>
          </a:extLst>
        </xdr:cNvPr>
        <xdr:cNvGrpSpPr/>
      </xdr:nvGrpSpPr>
      <xdr:grpSpPr>
        <a:xfrm>
          <a:off x="6092544" y="2148321"/>
          <a:ext cx="372332" cy="320996"/>
          <a:chOff x="5868144" y="5710631"/>
          <a:chExt cx="1152128" cy="874147"/>
        </a:xfrm>
      </xdr:grpSpPr>
      <xdr:cxnSp macro="">
        <xdr:nvCxnSpPr>
          <xdr:cNvPr id="5" name="8 Conector recto">
            <a:extLst>
              <a:ext uri="{FF2B5EF4-FFF2-40B4-BE49-F238E27FC236}">
                <a16:creationId xmlns:a16="http://schemas.microsoft.com/office/drawing/2014/main" id="{00000000-0008-0000-0700-000005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0000000-0008-0000-0700-000006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00000000-0008-0000-0700-000007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00000000-0008-0000-0700-000008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00000000-0008-0000-0700-000009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00000000-0008-0000-0700-00000A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00000000-0008-0000-0700-00000B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xdr:col>
      <xdr:colOff>304108</xdr:colOff>
      <xdr:row>15</xdr:row>
      <xdr:rowOff>66673</xdr:rowOff>
    </xdr:from>
    <xdr:to>
      <xdr:col>4</xdr:col>
      <xdr:colOff>171450</xdr:colOff>
      <xdr:row>24</xdr:row>
      <xdr:rowOff>139219</xdr:rowOff>
    </xdr:to>
    <xdr:pic>
      <xdr:nvPicPr>
        <xdr:cNvPr id="12" name="Imagen 11">
          <a:extLst>
            <a:ext uri="{FF2B5EF4-FFF2-40B4-BE49-F238E27FC236}">
              <a16:creationId xmlns:a16="http://schemas.microsoft.com/office/drawing/2014/main" id="{00000000-0008-0000-0700-00000C000000}"/>
            </a:ext>
          </a:extLst>
        </xdr:cNvPr>
        <xdr:cNvPicPr>
          <a:picLocks noChangeAspect="1"/>
        </xdr:cNvPicPr>
      </xdr:nvPicPr>
      <xdr:blipFill rotWithShape="1">
        <a:blip xmlns:r="http://schemas.openxmlformats.org/officeDocument/2006/relationships" r:embed="rId1"/>
        <a:srcRect l="62632" t="32438" r="15337" b="15354"/>
        <a:stretch/>
      </xdr:blipFill>
      <xdr:spPr>
        <a:xfrm>
          <a:off x="1828108" y="2990848"/>
          <a:ext cx="1391342" cy="1853721"/>
        </a:xfrm>
        <a:prstGeom prst="rect">
          <a:avLst/>
        </a:prstGeom>
      </xdr:spPr>
    </xdr:pic>
    <xdr:clientData/>
  </xdr:twoCellAnchor>
  <xdr:oneCellAnchor>
    <xdr:from>
      <xdr:col>9</xdr:col>
      <xdr:colOff>714375</xdr:colOff>
      <xdr:row>31</xdr:row>
      <xdr:rowOff>219075</xdr:rowOff>
    </xdr:from>
    <xdr:ext cx="3154518" cy="438325"/>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700-00000D000000}"/>
                </a:ext>
              </a:extLst>
            </xdr:cNvPr>
            <xdr:cNvSpPr txBox="1"/>
          </xdr:nvSpPr>
          <xdr:spPr>
            <a:xfrm>
              <a:off x="7667625" y="6305550"/>
              <a:ext cx="3154518" cy="4383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PE" sz="2800" b="0" i="1">
                        <a:latin typeface="Cambria Math" panose="02040503050406030204" pitchFamily="18" charset="0"/>
                      </a:rPr>
                      <m:t>𝑃𝑅𝑂</m:t>
                    </m:r>
                    <m:r>
                      <a:rPr lang="es-PE" sz="2800" i="0">
                        <a:latin typeface="Cambria Math" panose="02040503050406030204" pitchFamily="18" charset="0"/>
                      </a:rPr>
                      <m:t>=</m:t>
                    </m:r>
                    <m:r>
                      <a:rPr lang="es-PE" sz="2800" i="1">
                        <a:latin typeface="Cambria Math" panose="02040503050406030204" pitchFamily="18" charset="0"/>
                      </a:rPr>
                      <m:t>𝑑</m:t>
                    </m:r>
                    <m:r>
                      <a:rPr lang="es-PE" sz="2800" i="0">
                        <a:latin typeface="Cambria Math" panose="02040503050406030204" pitchFamily="18" charset="0"/>
                      </a:rPr>
                      <m:t>×</m:t>
                    </m:r>
                    <m:r>
                      <a:rPr lang="es-PE" sz="2800" i="1">
                        <a:latin typeface="Cambria Math" panose="02040503050406030204" pitchFamily="18" charset="0"/>
                      </a:rPr>
                      <m:t>𝑇𝐸</m:t>
                    </m:r>
                    <m:r>
                      <a:rPr lang="es-PE" sz="2800" i="0">
                        <a:latin typeface="Cambria Math" panose="02040503050406030204" pitchFamily="18" charset="0"/>
                      </a:rPr>
                      <m:t>+</m:t>
                    </m:r>
                    <m:r>
                      <a:rPr lang="es-PE" sz="2800" i="1">
                        <a:latin typeface="Cambria Math" panose="02040503050406030204" pitchFamily="18" charset="0"/>
                      </a:rPr>
                      <m:t>𝑆𝑆</m:t>
                    </m:r>
                  </m:oMath>
                </m:oMathPara>
              </a14:m>
              <a:endParaRPr lang="es-PE" sz="1100"/>
            </a:p>
          </xdr:txBody>
        </xdr:sp>
      </mc:Choice>
      <mc:Fallback xmlns="">
        <xdr:sp macro="" textlink="">
          <xdr:nvSpPr>
            <xdr:cNvPr id="13" name="CuadroTexto 12">
              <a:extLst>
                <a:ext uri="{FF2B5EF4-FFF2-40B4-BE49-F238E27FC236}">
                  <a16:creationId xmlns:a16="http://schemas.microsoft.com/office/drawing/2014/main" id="{5F3705D7-35B4-48D5-8635-087389432E90}"/>
                </a:ext>
              </a:extLst>
            </xdr:cNvPr>
            <xdr:cNvSpPr txBox="1"/>
          </xdr:nvSpPr>
          <xdr:spPr>
            <a:xfrm>
              <a:off x="7667625" y="6305550"/>
              <a:ext cx="3154518" cy="4383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PE" sz="2800" b="0" i="0">
                  <a:latin typeface="Cambria Math" panose="02040503050406030204" pitchFamily="18" charset="0"/>
                </a:rPr>
                <a:t>𝑃𝑅𝑂</a:t>
              </a:r>
              <a:r>
                <a:rPr lang="es-PE" sz="2800" i="0">
                  <a:latin typeface="Cambria Math" panose="02040503050406030204" pitchFamily="18" charset="0"/>
                </a:rPr>
                <a:t>=𝑑×𝑇𝐸+𝑆𝑆</a:t>
              </a:r>
              <a:endParaRPr lang="es-PE" sz="1100"/>
            </a:p>
          </xdr:txBody>
        </xdr:sp>
      </mc:Fallback>
    </mc:AlternateContent>
    <xdr:clientData/>
  </xdr:oneCellAnchor>
</xdr:wsDr>
</file>

<file path=xl/drawings/drawing12.xml><?xml version="1.0" encoding="utf-8"?>
<xdr:wsDr xmlns:xdr="http://schemas.openxmlformats.org/drawingml/2006/spreadsheetDrawing" xmlns:a="http://schemas.openxmlformats.org/drawingml/2006/main">
  <xdr:twoCellAnchor>
    <xdr:from>
      <xdr:col>4</xdr:col>
      <xdr:colOff>47625</xdr:colOff>
      <xdr:row>10</xdr:row>
      <xdr:rowOff>0</xdr:rowOff>
    </xdr:from>
    <xdr:to>
      <xdr:col>5</xdr:col>
      <xdr:colOff>685800</xdr:colOff>
      <xdr:row>10</xdr:row>
      <xdr:rowOff>9527</xdr:rowOff>
    </xdr:to>
    <xdr:cxnSp macro="">
      <xdr:nvCxnSpPr>
        <xdr:cNvPr id="2" name="Conector recto de flecha 1">
          <a:extLst>
            <a:ext uri="{FF2B5EF4-FFF2-40B4-BE49-F238E27FC236}">
              <a16:creationId xmlns:a16="http://schemas.microsoft.com/office/drawing/2014/main" id="{00000000-0008-0000-0800-000002000000}"/>
            </a:ext>
          </a:extLst>
        </xdr:cNvPr>
        <xdr:cNvCxnSpPr/>
      </xdr:nvCxnSpPr>
      <xdr:spPr>
        <a:xfrm flipV="1">
          <a:off x="3095625" y="2105025"/>
          <a:ext cx="1400175" cy="9527"/>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10</xdr:row>
      <xdr:rowOff>9525</xdr:rowOff>
    </xdr:from>
    <xdr:to>
      <xdr:col>8</xdr:col>
      <xdr:colOff>200025</xdr:colOff>
      <xdr:row>10</xdr:row>
      <xdr:rowOff>9525</xdr:rowOff>
    </xdr:to>
    <xdr:cxnSp macro="">
      <xdr:nvCxnSpPr>
        <xdr:cNvPr id="3" name="Conector recto de flecha 2">
          <a:extLst>
            <a:ext uri="{FF2B5EF4-FFF2-40B4-BE49-F238E27FC236}">
              <a16:creationId xmlns:a16="http://schemas.microsoft.com/office/drawing/2014/main" id="{00000000-0008-0000-0800-000003000000}"/>
            </a:ext>
          </a:extLst>
        </xdr:cNvPr>
        <xdr:cNvCxnSpPr/>
      </xdr:nvCxnSpPr>
      <xdr:spPr>
        <a:xfrm>
          <a:off x="5372100" y="2114550"/>
          <a:ext cx="1162050"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301344</xdr:colOff>
      <xdr:row>9</xdr:row>
      <xdr:rowOff>71871</xdr:rowOff>
    </xdr:from>
    <xdr:to>
      <xdr:col>8</xdr:col>
      <xdr:colOff>673676</xdr:colOff>
      <xdr:row>11</xdr:row>
      <xdr:rowOff>2342</xdr:rowOff>
    </xdr:to>
    <xdr:grpSp>
      <xdr:nvGrpSpPr>
        <xdr:cNvPr id="4" name="30 Grupo">
          <a:extLst>
            <a:ext uri="{FF2B5EF4-FFF2-40B4-BE49-F238E27FC236}">
              <a16:creationId xmlns:a16="http://schemas.microsoft.com/office/drawing/2014/main" id="{00000000-0008-0000-0800-000004000000}"/>
            </a:ext>
          </a:extLst>
        </xdr:cNvPr>
        <xdr:cNvGrpSpPr/>
      </xdr:nvGrpSpPr>
      <xdr:grpSpPr>
        <a:xfrm>
          <a:off x="6444969" y="2005446"/>
          <a:ext cx="372332" cy="320996"/>
          <a:chOff x="5868144" y="5710631"/>
          <a:chExt cx="1152128" cy="874147"/>
        </a:xfrm>
      </xdr:grpSpPr>
      <xdr:cxnSp macro="">
        <xdr:nvCxnSpPr>
          <xdr:cNvPr id="5" name="8 Conector recto">
            <a:extLst>
              <a:ext uri="{FF2B5EF4-FFF2-40B4-BE49-F238E27FC236}">
                <a16:creationId xmlns:a16="http://schemas.microsoft.com/office/drawing/2014/main" id="{00000000-0008-0000-0800-000005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0000000-0008-0000-0800-000006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00000000-0008-0000-0800-000007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00000000-0008-0000-0800-000008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00000000-0008-0000-0800-000009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00000000-0008-0000-0800-00000A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00000000-0008-0000-0800-00000B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266700</xdr:colOff>
      <xdr:row>12</xdr:row>
      <xdr:rowOff>114298</xdr:rowOff>
    </xdr:from>
    <xdr:to>
      <xdr:col>2</xdr:col>
      <xdr:colOff>28575</xdr:colOff>
      <xdr:row>19</xdr:row>
      <xdr:rowOff>183045</xdr:rowOff>
    </xdr:to>
    <xdr:pic>
      <xdr:nvPicPr>
        <xdr:cNvPr id="12" name="Imagen 11">
          <a:extLst>
            <a:ext uri="{FF2B5EF4-FFF2-40B4-BE49-F238E27FC236}">
              <a16:creationId xmlns:a16="http://schemas.microsoft.com/office/drawing/2014/main" id="{00000000-0008-0000-0800-00000C000000}"/>
            </a:ext>
          </a:extLst>
        </xdr:cNvPr>
        <xdr:cNvPicPr>
          <a:picLocks noChangeAspect="1"/>
        </xdr:cNvPicPr>
      </xdr:nvPicPr>
      <xdr:blipFill rotWithShape="1">
        <a:blip xmlns:r="http://schemas.openxmlformats.org/officeDocument/2006/relationships" r:embed="rId1"/>
        <a:srcRect l="62632" t="32438" r="15337" b="15354"/>
        <a:stretch/>
      </xdr:blipFill>
      <xdr:spPr>
        <a:xfrm>
          <a:off x="266700" y="2800348"/>
          <a:ext cx="1095375" cy="1459397"/>
        </a:xfrm>
        <a:prstGeom prst="rect">
          <a:avLst/>
        </a:prstGeom>
      </xdr:spPr>
    </xdr:pic>
    <xdr:clientData/>
  </xdr:twoCellAnchor>
  <xdr:twoCellAnchor>
    <xdr:from>
      <xdr:col>4</xdr:col>
      <xdr:colOff>419100</xdr:colOff>
      <xdr:row>10</xdr:row>
      <xdr:rowOff>133350</xdr:rowOff>
    </xdr:from>
    <xdr:to>
      <xdr:col>5</xdr:col>
      <xdr:colOff>237259</xdr:colOff>
      <xdr:row>12</xdr:row>
      <xdr:rowOff>63211</xdr:rowOff>
    </xdr:to>
    <xdr:grpSp>
      <xdr:nvGrpSpPr>
        <xdr:cNvPr id="13" name="Grupo 12">
          <a:extLst>
            <a:ext uri="{FF2B5EF4-FFF2-40B4-BE49-F238E27FC236}">
              <a16:creationId xmlns:a16="http://schemas.microsoft.com/office/drawing/2014/main" id="{00000000-0008-0000-0800-00000D000000}"/>
            </a:ext>
          </a:extLst>
        </xdr:cNvPr>
        <xdr:cNvGrpSpPr/>
      </xdr:nvGrpSpPr>
      <xdr:grpSpPr>
        <a:xfrm>
          <a:off x="3276600" y="2257425"/>
          <a:ext cx="580159" cy="320386"/>
          <a:chOff x="2933700" y="1514475"/>
          <a:chExt cx="1647824" cy="857250"/>
        </a:xfrm>
      </xdr:grpSpPr>
      <xdr:sp macro="" textlink="">
        <xdr:nvSpPr>
          <xdr:cNvPr id="14" name="Rectángulo 13">
            <a:extLst>
              <a:ext uri="{FF2B5EF4-FFF2-40B4-BE49-F238E27FC236}">
                <a16:creationId xmlns:a16="http://schemas.microsoft.com/office/drawing/2014/main" id="{00000000-0008-0000-0800-00000E000000}"/>
              </a:ext>
            </a:extLst>
          </xdr:cNvPr>
          <xdr:cNvSpPr/>
        </xdr:nvSpPr>
        <xdr:spPr>
          <a:xfrm>
            <a:off x="2933700" y="1514475"/>
            <a:ext cx="1228726" cy="600075"/>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5" name="Elipse 14">
            <a:extLst>
              <a:ext uri="{FF2B5EF4-FFF2-40B4-BE49-F238E27FC236}">
                <a16:creationId xmlns:a16="http://schemas.microsoft.com/office/drawing/2014/main" id="{00000000-0008-0000-0800-00000F000000}"/>
              </a:ext>
            </a:extLst>
          </xdr:cNvPr>
          <xdr:cNvSpPr/>
        </xdr:nvSpPr>
        <xdr:spPr>
          <a:xfrm>
            <a:off x="3343275"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6" name="Elipse 15">
            <a:extLst>
              <a:ext uri="{FF2B5EF4-FFF2-40B4-BE49-F238E27FC236}">
                <a16:creationId xmlns:a16="http://schemas.microsoft.com/office/drawing/2014/main" id="{00000000-0008-0000-0800-000010000000}"/>
              </a:ext>
            </a:extLst>
          </xdr:cNvPr>
          <xdr:cNvSpPr/>
        </xdr:nvSpPr>
        <xdr:spPr>
          <a:xfrm>
            <a:off x="3810000"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7" name="Rectángulo: esquinas redondeadas 16">
            <a:extLst>
              <a:ext uri="{FF2B5EF4-FFF2-40B4-BE49-F238E27FC236}">
                <a16:creationId xmlns:a16="http://schemas.microsoft.com/office/drawing/2014/main" id="{00000000-0008-0000-0800-000011000000}"/>
              </a:ext>
            </a:extLst>
          </xdr:cNvPr>
          <xdr:cNvSpPr/>
        </xdr:nvSpPr>
        <xdr:spPr>
          <a:xfrm>
            <a:off x="4200525" y="1685925"/>
            <a:ext cx="380999" cy="409575"/>
          </a:xfrm>
          <a:prstGeom prst="round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8" name="Elipse 17">
            <a:extLst>
              <a:ext uri="{FF2B5EF4-FFF2-40B4-BE49-F238E27FC236}">
                <a16:creationId xmlns:a16="http://schemas.microsoft.com/office/drawing/2014/main" id="{00000000-0008-0000-0800-000012000000}"/>
              </a:ext>
            </a:extLst>
          </xdr:cNvPr>
          <xdr:cNvSpPr/>
        </xdr:nvSpPr>
        <xdr:spPr>
          <a:xfrm>
            <a:off x="42672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9" name="Elipse 18">
            <a:extLst>
              <a:ext uri="{FF2B5EF4-FFF2-40B4-BE49-F238E27FC236}">
                <a16:creationId xmlns:a16="http://schemas.microsoft.com/office/drawing/2014/main" id="{00000000-0008-0000-0800-000013000000}"/>
              </a:ext>
            </a:extLst>
          </xdr:cNvPr>
          <xdr:cNvSpPr/>
        </xdr:nvSpPr>
        <xdr:spPr>
          <a:xfrm>
            <a:off x="30480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grpSp>
    <xdr:clientData/>
  </xdr:twoCellAnchor>
  <xdr:twoCellAnchor>
    <xdr:from>
      <xdr:col>2</xdr:col>
      <xdr:colOff>276225</xdr:colOff>
      <xdr:row>14</xdr:row>
      <xdr:rowOff>161925</xdr:rowOff>
    </xdr:from>
    <xdr:to>
      <xdr:col>3</xdr:col>
      <xdr:colOff>752475</xdr:colOff>
      <xdr:row>19</xdr:row>
      <xdr:rowOff>180975</xdr:rowOff>
    </xdr:to>
    <xdr:sp macro="" textlink="">
      <xdr:nvSpPr>
        <xdr:cNvPr id="20" name="Rectángulo: esquinas redondeadas 19">
          <a:extLst>
            <a:ext uri="{FF2B5EF4-FFF2-40B4-BE49-F238E27FC236}">
              <a16:creationId xmlns:a16="http://schemas.microsoft.com/office/drawing/2014/main" id="{00000000-0008-0000-0800-000014000000}"/>
            </a:ext>
          </a:extLst>
        </xdr:cNvPr>
        <xdr:cNvSpPr/>
      </xdr:nvSpPr>
      <xdr:spPr>
        <a:xfrm>
          <a:off x="1800225" y="3048000"/>
          <a:ext cx="1238250" cy="1019175"/>
        </a:xfrm>
        <a:prstGeom prst="roundRect">
          <a:avLst/>
        </a:prstGeom>
        <a:solidFill>
          <a:schemeClr val="accent2">
            <a:lumMod val="60000"/>
            <a:lumOff val="4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xdr:col>
      <xdr:colOff>428625</xdr:colOff>
      <xdr:row>15</xdr:row>
      <xdr:rowOff>28575</xdr:rowOff>
    </xdr:from>
    <xdr:to>
      <xdr:col>3</xdr:col>
      <xdr:colOff>95250</xdr:colOff>
      <xdr:row>17</xdr:row>
      <xdr:rowOff>57150</xdr:rowOff>
    </xdr:to>
    <xdr:sp macro="" textlink="">
      <xdr:nvSpPr>
        <xdr:cNvPr id="21" name="Elipse 20">
          <a:extLst>
            <a:ext uri="{FF2B5EF4-FFF2-40B4-BE49-F238E27FC236}">
              <a16:creationId xmlns:a16="http://schemas.microsoft.com/office/drawing/2014/main" id="{00000000-0008-0000-0800-000015000000}"/>
            </a:ext>
          </a:extLst>
        </xdr:cNvPr>
        <xdr:cNvSpPr/>
      </xdr:nvSpPr>
      <xdr:spPr>
        <a:xfrm>
          <a:off x="1952625" y="3105150"/>
          <a:ext cx="428625" cy="409575"/>
        </a:xfrm>
        <a:prstGeom prst="ellipse">
          <a:avLst/>
        </a:prstGeom>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xdr:col>
      <xdr:colOff>419100</xdr:colOff>
      <xdr:row>17</xdr:row>
      <xdr:rowOff>114300</xdr:rowOff>
    </xdr:from>
    <xdr:to>
      <xdr:col>3</xdr:col>
      <xdr:colOff>85725</xdr:colOff>
      <xdr:row>19</xdr:row>
      <xdr:rowOff>133350</xdr:rowOff>
    </xdr:to>
    <xdr:sp macro="" textlink="">
      <xdr:nvSpPr>
        <xdr:cNvPr id="22" name="Elipse 21">
          <a:extLst>
            <a:ext uri="{FF2B5EF4-FFF2-40B4-BE49-F238E27FC236}">
              <a16:creationId xmlns:a16="http://schemas.microsoft.com/office/drawing/2014/main" id="{00000000-0008-0000-0800-000016000000}"/>
            </a:ext>
          </a:extLst>
        </xdr:cNvPr>
        <xdr:cNvSpPr/>
      </xdr:nvSpPr>
      <xdr:spPr>
        <a:xfrm>
          <a:off x="1943100" y="3571875"/>
          <a:ext cx="428625" cy="447675"/>
        </a:xfrm>
        <a:prstGeom prst="ellipse">
          <a:avLst/>
        </a:prstGeom>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clientData/>
  </xdr:twoCellAnchor>
  <xdr:twoCellAnchor>
    <xdr:from>
      <xdr:col>3</xdr:col>
      <xdr:colOff>152400</xdr:colOff>
      <xdr:row>15</xdr:row>
      <xdr:rowOff>38100</xdr:rowOff>
    </xdr:from>
    <xdr:to>
      <xdr:col>3</xdr:col>
      <xdr:colOff>581025</xdr:colOff>
      <xdr:row>17</xdr:row>
      <xdr:rowOff>66675</xdr:rowOff>
    </xdr:to>
    <xdr:sp macro="" textlink="">
      <xdr:nvSpPr>
        <xdr:cNvPr id="23" name="Elipse 22">
          <a:extLst>
            <a:ext uri="{FF2B5EF4-FFF2-40B4-BE49-F238E27FC236}">
              <a16:creationId xmlns:a16="http://schemas.microsoft.com/office/drawing/2014/main" id="{00000000-0008-0000-0800-000017000000}"/>
            </a:ext>
          </a:extLst>
        </xdr:cNvPr>
        <xdr:cNvSpPr/>
      </xdr:nvSpPr>
      <xdr:spPr>
        <a:xfrm>
          <a:off x="2438400" y="3114675"/>
          <a:ext cx="428625" cy="409575"/>
        </a:xfrm>
        <a:prstGeom prst="ellipse">
          <a:avLst/>
        </a:prstGeom>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clientData/>
  </xdr:twoCellAnchor>
  <xdr:twoCellAnchor>
    <xdr:from>
      <xdr:col>3</xdr:col>
      <xdr:colOff>142875</xdr:colOff>
      <xdr:row>17</xdr:row>
      <xdr:rowOff>123825</xdr:rowOff>
    </xdr:from>
    <xdr:to>
      <xdr:col>3</xdr:col>
      <xdr:colOff>571500</xdr:colOff>
      <xdr:row>19</xdr:row>
      <xdr:rowOff>142875</xdr:rowOff>
    </xdr:to>
    <xdr:sp macro="" textlink="">
      <xdr:nvSpPr>
        <xdr:cNvPr id="24" name="Elipse 23">
          <a:extLst>
            <a:ext uri="{FF2B5EF4-FFF2-40B4-BE49-F238E27FC236}">
              <a16:creationId xmlns:a16="http://schemas.microsoft.com/office/drawing/2014/main" id="{00000000-0008-0000-0800-000018000000}"/>
            </a:ext>
          </a:extLst>
        </xdr:cNvPr>
        <xdr:cNvSpPr/>
      </xdr:nvSpPr>
      <xdr:spPr>
        <a:xfrm>
          <a:off x="2428875" y="3581400"/>
          <a:ext cx="428625" cy="447675"/>
        </a:xfrm>
        <a:prstGeom prst="ellipse">
          <a:avLst/>
        </a:prstGeom>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28575</xdr:colOff>
      <xdr:row>13</xdr:row>
      <xdr:rowOff>19050</xdr:rowOff>
    </xdr:from>
    <xdr:to>
      <xdr:col>3</xdr:col>
      <xdr:colOff>742950</xdr:colOff>
      <xdr:row>13</xdr:row>
      <xdr:rowOff>19051</xdr:rowOff>
    </xdr:to>
    <xdr:cxnSp macro="">
      <xdr:nvCxnSpPr>
        <xdr:cNvPr id="2" name="Conector recto de flecha 1">
          <a:extLst>
            <a:ext uri="{FF2B5EF4-FFF2-40B4-BE49-F238E27FC236}">
              <a16:creationId xmlns:a16="http://schemas.microsoft.com/office/drawing/2014/main" id="{00000000-0008-0000-0900-000002000000}"/>
            </a:ext>
          </a:extLst>
        </xdr:cNvPr>
        <xdr:cNvCxnSpPr/>
      </xdr:nvCxnSpPr>
      <xdr:spPr>
        <a:xfrm flipV="1">
          <a:off x="2314575" y="2524125"/>
          <a:ext cx="714375" cy="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215619</xdr:colOff>
      <xdr:row>15</xdr:row>
      <xdr:rowOff>33771</xdr:rowOff>
    </xdr:from>
    <xdr:to>
      <xdr:col>8</xdr:col>
      <xdr:colOff>587951</xdr:colOff>
      <xdr:row>16</xdr:row>
      <xdr:rowOff>164267</xdr:rowOff>
    </xdr:to>
    <xdr:grpSp>
      <xdr:nvGrpSpPr>
        <xdr:cNvPr id="3" name="30 Grupo">
          <a:extLst>
            <a:ext uri="{FF2B5EF4-FFF2-40B4-BE49-F238E27FC236}">
              <a16:creationId xmlns:a16="http://schemas.microsoft.com/office/drawing/2014/main" id="{00000000-0008-0000-0900-000003000000}"/>
            </a:ext>
          </a:extLst>
        </xdr:cNvPr>
        <xdr:cNvGrpSpPr/>
      </xdr:nvGrpSpPr>
      <xdr:grpSpPr>
        <a:xfrm>
          <a:off x="6121119" y="2929371"/>
          <a:ext cx="372332" cy="320996"/>
          <a:chOff x="5868144" y="5710631"/>
          <a:chExt cx="1152128" cy="874147"/>
        </a:xfrm>
      </xdr:grpSpPr>
      <xdr:cxnSp macro="">
        <xdr:nvCxnSpPr>
          <xdr:cNvPr id="4" name="8 Conector recto">
            <a:extLst>
              <a:ext uri="{FF2B5EF4-FFF2-40B4-BE49-F238E27FC236}">
                <a16:creationId xmlns:a16="http://schemas.microsoft.com/office/drawing/2014/main" id="{00000000-0008-0000-09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9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9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9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9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9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9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9525</xdr:colOff>
      <xdr:row>13</xdr:row>
      <xdr:rowOff>1</xdr:rowOff>
    </xdr:from>
    <xdr:to>
      <xdr:col>6</xdr:col>
      <xdr:colOff>723900</xdr:colOff>
      <xdr:row>13</xdr:row>
      <xdr:rowOff>9525</xdr:rowOff>
    </xdr:to>
    <xdr:cxnSp macro="">
      <xdr:nvCxnSpPr>
        <xdr:cNvPr id="11" name="Conector recto de flecha 10">
          <a:extLst>
            <a:ext uri="{FF2B5EF4-FFF2-40B4-BE49-F238E27FC236}">
              <a16:creationId xmlns:a16="http://schemas.microsoft.com/office/drawing/2014/main" id="{00000000-0008-0000-0900-00000B000000}"/>
            </a:ext>
          </a:extLst>
        </xdr:cNvPr>
        <xdr:cNvCxnSpPr/>
      </xdr:nvCxnSpPr>
      <xdr:spPr>
        <a:xfrm flipV="1">
          <a:off x="3819525" y="2505076"/>
          <a:ext cx="1476375" cy="9524"/>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10</xdr:row>
      <xdr:rowOff>9525</xdr:rowOff>
    </xdr:from>
    <xdr:to>
      <xdr:col>6</xdr:col>
      <xdr:colOff>742950</xdr:colOff>
      <xdr:row>10</xdr:row>
      <xdr:rowOff>9526</xdr:rowOff>
    </xdr:to>
    <xdr:cxnSp macro="">
      <xdr:nvCxnSpPr>
        <xdr:cNvPr id="12" name="Conector recto de flecha 11">
          <a:extLst>
            <a:ext uri="{FF2B5EF4-FFF2-40B4-BE49-F238E27FC236}">
              <a16:creationId xmlns:a16="http://schemas.microsoft.com/office/drawing/2014/main" id="{00000000-0008-0000-0900-00000C000000}"/>
            </a:ext>
          </a:extLst>
        </xdr:cNvPr>
        <xdr:cNvCxnSpPr/>
      </xdr:nvCxnSpPr>
      <xdr:spPr>
        <a:xfrm>
          <a:off x="4867275" y="1924050"/>
          <a:ext cx="447675" cy="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285750</xdr:colOff>
      <xdr:row>16</xdr:row>
      <xdr:rowOff>9525</xdr:rowOff>
    </xdr:from>
    <xdr:to>
      <xdr:col>6</xdr:col>
      <xdr:colOff>733425</xdr:colOff>
      <xdr:row>16</xdr:row>
      <xdr:rowOff>9526</xdr:rowOff>
    </xdr:to>
    <xdr:cxnSp macro="">
      <xdr:nvCxnSpPr>
        <xdr:cNvPr id="13" name="Conector recto de flecha 12">
          <a:extLst>
            <a:ext uri="{FF2B5EF4-FFF2-40B4-BE49-F238E27FC236}">
              <a16:creationId xmlns:a16="http://schemas.microsoft.com/office/drawing/2014/main" id="{00000000-0008-0000-0900-00000D000000}"/>
            </a:ext>
          </a:extLst>
        </xdr:cNvPr>
        <xdr:cNvCxnSpPr/>
      </xdr:nvCxnSpPr>
      <xdr:spPr>
        <a:xfrm>
          <a:off x="4857750" y="3095625"/>
          <a:ext cx="447675" cy="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9</xdr:row>
      <xdr:rowOff>180975</xdr:rowOff>
    </xdr:from>
    <xdr:to>
      <xdr:col>6</xdr:col>
      <xdr:colOff>295275</xdr:colOff>
      <xdr:row>16</xdr:row>
      <xdr:rowOff>19050</xdr:rowOff>
    </xdr:to>
    <xdr:cxnSp macro="">
      <xdr:nvCxnSpPr>
        <xdr:cNvPr id="14" name="Conector recto de flecha 13">
          <a:extLst>
            <a:ext uri="{FF2B5EF4-FFF2-40B4-BE49-F238E27FC236}">
              <a16:creationId xmlns:a16="http://schemas.microsoft.com/office/drawing/2014/main" id="{00000000-0008-0000-0900-00000E000000}"/>
            </a:ext>
          </a:extLst>
        </xdr:cNvPr>
        <xdr:cNvCxnSpPr/>
      </xdr:nvCxnSpPr>
      <xdr:spPr>
        <a:xfrm flipV="1">
          <a:off x="4867275" y="1905000"/>
          <a:ext cx="0" cy="1200150"/>
        </a:xfrm>
        <a:prstGeom prst="straightConnector1">
          <a:avLst/>
        </a:prstGeom>
        <a:ln w="41275">
          <a:solidFill>
            <a:srgbClr val="002060"/>
          </a:solidFill>
          <a:tailEnd type="non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206094</xdr:colOff>
      <xdr:row>12</xdr:row>
      <xdr:rowOff>52821</xdr:rowOff>
    </xdr:from>
    <xdr:to>
      <xdr:col>8</xdr:col>
      <xdr:colOff>578426</xdr:colOff>
      <xdr:row>13</xdr:row>
      <xdr:rowOff>183317</xdr:rowOff>
    </xdr:to>
    <xdr:grpSp>
      <xdr:nvGrpSpPr>
        <xdr:cNvPr id="15" name="30 Grupo">
          <a:extLst>
            <a:ext uri="{FF2B5EF4-FFF2-40B4-BE49-F238E27FC236}">
              <a16:creationId xmlns:a16="http://schemas.microsoft.com/office/drawing/2014/main" id="{00000000-0008-0000-0900-00000F000000}"/>
            </a:ext>
          </a:extLst>
        </xdr:cNvPr>
        <xdr:cNvGrpSpPr/>
      </xdr:nvGrpSpPr>
      <xdr:grpSpPr>
        <a:xfrm>
          <a:off x="6111594" y="2367396"/>
          <a:ext cx="372332" cy="320996"/>
          <a:chOff x="5868144" y="5710631"/>
          <a:chExt cx="1152128" cy="874147"/>
        </a:xfrm>
      </xdr:grpSpPr>
      <xdr:cxnSp macro="">
        <xdr:nvCxnSpPr>
          <xdr:cNvPr id="16" name="8 Conector recto">
            <a:extLst>
              <a:ext uri="{FF2B5EF4-FFF2-40B4-BE49-F238E27FC236}">
                <a16:creationId xmlns:a16="http://schemas.microsoft.com/office/drawing/2014/main" id="{00000000-0008-0000-0900-000010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14 Conector recto">
            <a:extLst>
              <a:ext uri="{FF2B5EF4-FFF2-40B4-BE49-F238E27FC236}">
                <a16:creationId xmlns:a16="http://schemas.microsoft.com/office/drawing/2014/main" id="{00000000-0008-0000-0900-000011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17 Conector recto">
            <a:extLst>
              <a:ext uri="{FF2B5EF4-FFF2-40B4-BE49-F238E27FC236}">
                <a16:creationId xmlns:a16="http://schemas.microsoft.com/office/drawing/2014/main" id="{00000000-0008-0000-0900-000012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1 Conector recto">
            <a:extLst>
              <a:ext uri="{FF2B5EF4-FFF2-40B4-BE49-F238E27FC236}">
                <a16:creationId xmlns:a16="http://schemas.microsoft.com/office/drawing/2014/main" id="{00000000-0008-0000-0900-000013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23 Conector recto">
            <a:extLst>
              <a:ext uri="{FF2B5EF4-FFF2-40B4-BE49-F238E27FC236}">
                <a16:creationId xmlns:a16="http://schemas.microsoft.com/office/drawing/2014/main" id="{00000000-0008-0000-0900-000014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26 Conector recto">
            <a:extLst>
              <a:ext uri="{FF2B5EF4-FFF2-40B4-BE49-F238E27FC236}">
                <a16:creationId xmlns:a16="http://schemas.microsoft.com/office/drawing/2014/main" id="{00000000-0008-0000-0900-000015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29 Conector recto">
            <a:extLst>
              <a:ext uri="{FF2B5EF4-FFF2-40B4-BE49-F238E27FC236}">
                <a16:creationId xmlns:a16="http://schemas.microsoft.com/office/drawing/2014/main" id="{00000000-0008-0000-0900-000016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196569</xdr:colOff>
      <xdr:row>9</xdr:row>
      <xdr:rowOff>62346</xdr:rowOff>
    </xdr:from>
    <xdr:to>
      <xdr:col>8</xdr:col>
      <xdr:colOff>568901</xdr:colOff>
      <xdr:row>10</xdr:row>
      <xdr:rowOff>192842</xdr:rowOff>
    </xdr:to>
    <xdr:grpSp>
      <xdr:nvGrpSpPr>
        <xdr:cNvPr id="23" name="30 Grupo">
          <a:extLst>
            <a:ext uri="{FF2B5EF4-FFF2-40B4-BE49-F238E27FC236}">
              <a16:creationId xmlns:a16="http://schemas.microsoft.com/office/drawing/2014/main" id="{00000000-0008-0000-0900-000017000000}"/>
            </a:ext>
          </a:extLst>
        </xdr:cNvPr>
        <xdr:cNvGrpSpPr/>
      </xdr:nvGrpSpPr>
      <xdr:grpSpPr>
        <a:xfrm>
          <a:off x="6102069" y="1786371"/>
          <a:ext cx="372332" cy="320996"/>
          <a:chOff x="5868144" y="5710631"/>
          <a:chExt cx="1152128" cy="874147"/>
        </a:xfrm>
      </xdr:grpSpPr>
      <xdr:cxnSp macro="">
        <xdr:nvCxnSpPr>
          <xdr:cNvPr id="24" name="8 Conector recto">
            <a:extLst>
              <a:ext uri="{FF2B5EF4-FFF2-40B4-BE49-F238E27FC236}">
                <a16:creationId xmlns:a16="http://schemas.microsoft.com/office/drawing/2014/main" id="{00000000-0008-0000-0900-000018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14 Conector recto">
            <a:extLst>
              <a:ext uri="{FF2B5EF4-FFF2-40B4-BE49-F238E27FC236}">
                <a16:creationId xmlns:a16="http://schemas.microsoft.com/office/drawing/2014/main" id="{00000000-0008-0000-0900-000019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6" name="17 Conector recto">
            <a:extLst>
              <a:ext uri="{FF2B5EF4-FFF2-40B4-BE49-F238E27FC236}">
                <a16:creationId xmlns:a16="http://schemas.microsoft.com/office/drawing/2014/main" id="{00000000-0008-0000-0900-00001A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21 Conector recto">
            <a:extLst>
              <a:ext uri="{FF2B5EF4-FFF2-40B4-BE49-F238E27FC236}">
                <a16:creationId xmlns:a16="http://schemas.microsoft.com/office/drawing/2014/main" id="{00000000-0008-0000-0900-00001B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23 Conector recto">
            <a:extLst>
              <a:ext uri="{FF2B5EF4-FFF2-40B4-BE49-F238E27FC236}">
                <a16:creationId xmlns:a16="http://schemas.microsoft.com/office/drawing/2014/main" id="{00000000-0008-0000-0900-00001C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9" name="26 Conector recto">
            <a:extLst>
              <a:ext uri="{FF2B5EF4-FFF2-40B4-BE49-F238E27FC236}">
                <a16:creationId xmlns:a16="http://schemas.microsoft.com/office/drawing/2014/main" id="{00000000-0008-0000-0900-00001D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0" name="29 Conector recto">
            <a:extLst>
              <a:ext uri="{FF2B5EF4-FFF2-40B4-BE49-F238E27FC236}">
                <a16:creationId xmlns:a16="http://schemas.microsoft.com/office/drawing/2014/main" id="{00000000-0008-0000-0900-00001E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666750</xdr:colOff>
      <xdr:row>16</xdr:row>
      <xdr:rowOff>114300</xdr:rowOff>
    </xdr:from>
    <xdr:to>
      <xdr:col>13</xdr:col>
      <xdr:colOff>666750</xdr:colOff>
      <xdr:row>21</xdr:row>
      <xdr:rowOff>47625</xdr:rowOff>
    </xdr:to>
    <xdr:cxnSp macro="">
      <xdr:nvCxnSpPr>
        <xdr:cNvPr id="31" name="Conector recto de flecha 30">
          <a:extLst>
            <a:ext uri="{FF2B5EF4-FFF2-40B4-BE49-F238E27FC236}">
              <a16:creationId xmlns:a16="http://schemas.microsoft.com/office/drawing/2014/main" id="{00000000-0008-0000-0900-00001F000000}"/>
            </a:ext>
          </a:extLst>
        </xdr:cNvPr>
        <xdr:cNvCxnSpPr/>
      </xdr:nvCxnSpPr>
      <xdr:spPr>
        <a:xfrm>
          <a:off x="10925175" y="3200400"/>
          <a:ext cx="0" cy="885825"/>
        </a:xfrm>
        <a:prstGeom prst="straightConnector1">
          <a:avLst/>
        </a:prstGeom>
        <a:ln w="7302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495300</xdr:colOff>
      <xdr:row>22</xdr:row>
      <xdr:rowOff>171449</xdr:rowOff>
    </xdr:from>
    <xdr:to>
      <xdr:col>10</xdr:col>
      <xdr:colOff>893618</xdr:colOff>
      <xdr:row>26</xdr:row>
      <xdr:rowOff>180975</xdr:rowOff>
    </xdr:to>
    <mc:AlternateContent xmlns:mc="http://schemas.openxmlformats.org/markup-compatibility/2006" xmlns:a14="http://schemas.microsoft.com/office/drawing/2010/main">
      <mc:Choice Requires="a14">
        <xdr:sp macro="" textlink="">
          <xdr:nvSpPr>
            <xdr:cNvPr id="32" name="CuadroTexto 7">
              <a:extLst>
                <a:ext uri="{FF2B5EF4-FFF2-40B4-BE49-F238E27FC236}">
                  <a16:creationId xmlns:a16="http://schemas.microsoft.com/office/drawing/2014/main" id="{BEDDE114-E87F-4BF4-95F6-D7354B7F54BA}"/>
                </a:ext>
              </a:extLst>
            </xdr:cNvPr>
            <xdr:cNvSpPr txBox="1"/>
          </xdr:nvSpPr>
          <xdr:spPr>
            <a:xfrm>
              <a:off x="7162800" y="4400549"/>
              <a:ext cx="1160318" cy="790576"/>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𝟏</m:t>
                            </m:r>
                          </m:sub>
                        </m:sSub>
                      </m:num>
                      <m:den>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𝟐</m:t>
                            </m:r>
                          </m:sub>
                        </m:sSub>
                      </m:den>
                    </m:f>
                    <m:r>
                      <a:rPr lang="es-PE" sz="1600" b="1" i="0">
                        <a:latin typeface="Cambria Math" panose="02040503050406030204" pitchFamily="18" charset="0"/>
                      </a:rPr>
                      <m:t>=</m:t>
                    </m:r>
                    <m:rad>
                      <m:radPr>
                        <m:degHide m:val="on"/>
                        <m:ctrlPr>
                          <a:rPr lang="es-PE" sz="1600" b="1" i="1">
                            <a:latin typeface="Cambria Math" panose="02040503050406030204" pitchFamily="18" charset="0"/>
                          </a:rPr>
                        </m:ctrlPr>
                      </m:radPr>
                      <m:deg/>
                      <m:e>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𝑻</m:t>
                                </m:r>
                              </m:e>
                              <m:sub>
                                <m:r>
                                  <a:rPr lang="es-PE" sz="1600" b="1" i="0">
                                    <a:latin typeface="Cambria Math" panose="02040503050406030204" pitchFamily="18" charset="0"/>
                                  </a:rPr>
                                  <m:t>𝟏</m:t>
                                </m:r>
                              </m:sub>
                            </m:sSub>
                          </m:num>
                          <m:den>
                            <m:r>
                              <a:rPr lang="es-PE" sz="1600" b="1" i="1">
                                <a:latin typeface="Cambria Math" panose="02040503050406030204" pitchFamily="18" charset="0"/>
                              </a:rPr>
                              <m:t>𝑻𝑬</m:t>
                            </m:r>
                          </m:den>
                        </m:f>
                      </m:e>
                    </m:rad>
                  </m:oMath>
                </m:oMathPara>
              </a14:m>
              <a:endParaRPr lang="es-PE" sz="1600" b="1"/>
            </a:p>
          </xdr:txBody>
        </xdr:sp>
      </mc:Choice>
      <mc:Fallback xmlns="">
        <xdr:sp macro="" textlink="">
          <xdr:nvSpPr>
            <xdr:cNvPr id="32" name="CuadroTexto 7">
              <a:extLst>
                <a:ext uri="{FF2B5EF4-FFF2-40B4-BE49-F238E27FC236}">
                  <a16:creationId xmlns:a16="http://schemas.microsoft.com/office/drawing/2014/main" id="{BEDDE114-E87F-4BF4-95F6-D7354B7F54BA}"/>
                </a:ext>
              </a:extLst>
            </xdr:cNvPr>
            <xdr:cNvSpPr txBox="1"/>
          </xdr:nvSpPr>
          <xdr:spPr>
            <a:xfrm>
              <a:off x="7162800" y="4400549"/>
              <a:ext cx="1160318" cy="790576"/>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b="1" i="0">
                  <a:latin typeface="Cambria Math" panose="02040503050406030204" pitchFamily="18" charset="0"/>
                </a:rPr>
                <a:t>𝝈_𝟏/𝝈_𝟐 =√(𝑻_𝟏/𝑻𝑬)</a:t>
              </a:r>
              <a:endParaRPr lang="es-PE" sz="1600" b="1"/>
            </a:p>
          </xdr:txBody>
        </xdr:sp>
      </mc:Fallback>
    </mc:AlternateContent>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180975</xdr:colOff>
      <xdr:row>5</xdr:row>
      <xdr:rowOff>134930</xdr:rowOff>
    </xdr:from>
    <xdr:to>
      <xdr:col>16</xdr:col>
      <xdr:colOff>127634</xdr:colOff>
      <xdr:row>19</xdr:row>
      <xdr:rowOff>163829</xdr:rowOff>
    </xdr:to>
    <xdr:pic>
      <xdr:nvPicPr>
        <xdr:cNvPr id="2" name="Imagen 1">
          <a:extLst>
            <a:ext uri="{FF2B5EF4-FFF2-40B4-BE49-F238E27FC236}">
              <a16:creationId xmlns:a16="http://schemas.microsoft.com/office/drawing/2014/main" id="{E8FF91E7-3852-4E3B-8120-D2C38D44A65B}"/>
            </a:ext>
          </a:extLst>
        </xdr:cNvPr>
        <xdr:cNvPicPr>
          <a:picLocks noChangeAspect="1"/>
        </xdr:cNvPicPr>
      </xdr:nvPicPr>
      <xdr:blipFill>
        <a:blip xmlns:r="http://schemas.openxmlformats.org/officeDocument/2006/relationships" r:embed="rId1"/>
        <a:stretch>
          <a:fillRect/>
        </a:stretch>
      </xdr:blipFill>
      <xdr:spPr>
        <a:xfrm>
          <a:off x="6677025" y="1087430"/>
          <a:ext cx="5633084" cy="2791149"/>
        </a:xfrm>
        <a:prstGeom prst="rect">
          <a:avLst/>
        </a:prstGeom>
      </xdr:spPr>
    </xdr:pic>
    <xdr:clientData/>
  </xdr:twoCellAnchor>
  <xdr:twoCellAnchor>
    <xdr:from>
      <xdr:col>1</xdr:col>
      <xdr:colOff>19050</xdr:colOff>
      <xdr:row>13</xdr:row>
      <xdr:rowOff>28575</xdr:rowOff>
    </xdr:from>
    <xdr:to>
      <xdr:col>7</xdr:col>
      <xdr:colOff>218293</xdr:colOff>
      <xdr:row>16</xdr:row>
      <xdr:rowOff>11073</xdr:rowOff>
    </xdr:to>
    <mc:AlternateContent xmlns:mc="http://schemas.openxmlformats.org/markup-compatibility/2006" xmlns:a14="http://schemas.microsoft.com/office/drawing/2010/main">
      <mc:Choice Requires="a14">
        <xdr:sp macro="" textlink="">
          <xdr:nvSpPr>
            <xdr:cNvPr id="3" name="CuadroTexto 5">
              <a:extLst>
                <a:ext uri="{FF2B5EF4-FFF2-40B4-BE49-F238E27FC236}">
                  <a16:creationId xmlns:a16="http://schemas.microsoft.com/office/drawing/2014/main" id="{075143C6-7F96-4E92-9934-84D55F1A46AE}"/>
                </a:ext>
              </a:extLst>
            </xdr:cNvPr>
            <xdr:cNvSpPr txBox="1"/>
          </xdr:nvSpPr>
          <xdr:spPr>
            <a:xfrm>
              <a:off x="419100" y="2600325"/>
              <a:ext cx="4771243" cy="553998"/>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3600" i="1">
                        <a:latin typeface="Cambria Math" panose="02040503050406030204" pitchFamily="18" charset="0"/>
                      </a:rPr>
                      <m:t>𝑀</m:t>
                    </m:r>
                    <m:r>
                      <a:rPr lang="es-PE" sz="3600" i="1">
                        <a:latin typeface="Cambria Math" panose="02040503050406030204" pitchFamily="18" charset="0"/>
                      </a:rPr>
                      <m:t>=</m:t>
                    </m:r>
                    <m:r>
                      <a:rPr lang="es-PE" sz="3600" i="1">
                        <a:latin typeface="Cambria Math" panose="02040503050406030204" pitchFamily="18" charset="0"/>
                      </a:rPr>
                      <m:t>𝑑</m:t>
                    </m:r>
                    <m:r>
                      <a:rPr lang="es-PE" sz="3600" i="1">
                        <a:latin typeface="Cambria Math" panose="02040503050406030204" pitchFamily="18" charset="0"/>
                      </a:rPr>
                      <m:t>×</m:t>
                    </m:r>
                    <m:d>
                      <m:dPr>
                        <m:ctrlPr>
                          <a:rPr lang="es-PE" sz="3600" i="1">
                            <a:latin typeface="Cambria Math" panose="02040503050406030204" pitchFamily="18" charset="0"/>
                          </a:rPr>
                        </m:ctrlPr>
                      </m:dPr>
                      <m:e>
                        <m:r>
                          <a:rPr lang="es-PE" sz="3600" i="1">
                            <a:latin typeface="Cambria Math" panose="02040503050406030204" pitchFamily="18" charset="0"/>
                          </a:rPr>
                          <m:t>𝑇𝐸</m:t>
                        </m:r>
                        <m:r>
                          <a:rPr lang="es-PE" sz="3600" i="1">
                            <a:latin typeface="Cambria Math" panose="02040503050406030204" pitchFamily="18" charset="0"/>
                          </a:rPr>
                          <m:t>+</m:t>
                        </m:r>
                        <m:r>
                          <a:rPr lang="es-PE" sz="3600" i="1">
                            <a:latin typeface="Cambria Math" panose="02040503050406030204" pitchFamily="18" charset="0"/>
                          </a:rPr>
                          <m:t>𝑇</m:t>
                        </m:r>
                      </m:e>
                    </m:d>
                    <m:r>
                      <a:rPr lang="es-PE" sz="3600" i="1">
                        <a:latin typeface="Cambria Math" panose="02040503050406030204" pitchFamily="18" charset="0"/>
                      </a:rPr>
                      <m:t>+</m:t>
                    </m:r>
                    <m:r>
                      <a:rPr lang="es-PE" sz="3600" i="1">
                        <a:latin typeface="Cambria Math" panose="02040503050406030204" pitchFamily="18" charset="0"/>
                      </a:rPr>
                      <m:t>𝑆𝑆</m:t>
                    </m:r>
                  </m:oMath>
                </m:oMathPara>
              </a14:m>
              <a:endParaRPr lang="es-PE" sz="3600"/>
            </a:p>
          </xdr:txBody>
        </xdr:sp>
      </mc:Choice>
      <mc:Fallback xmlns="">
        <xdr:sp macro="" textlink="">
          <xdr:nvSpPr>
            <xdr:cNvPr id="3" name="CuadroTexto 5">
              <a:extLst>
                <a:ext uri="{FF2B5EF4-FFF2-40B4-BE49-F238E27FC236}">
                  <a16:creationId xmlns:a16="http://schemas.microsoft.com/office/drawing/2014/main" id="{075143C6-7F96-4E92-9934-84D55F1A46AE}"/>
                </a:ext>
              </a:extLst>
            </xdr:cNvPr>
            <xdr:cNvSpPr txBox="1"/>
          </xdr:nvSpPr>
          <xdr:spPr>
            <a:xfrm>
              <a:off x="419100" y="2600325"/>
              <a:ext cx="4771243" cy="553998"/>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3600" i="0">
                  <a:latin typeface="Cambria Math" panose="02040503050406030204" pitchFamily="18" charset="0"/>
                </a:rPr>
                <a:t>𝑀=𝑑×(𝑇𝐸+𝑇)+𝑆𝑆</a:t>
              </a:r>
              <a:endParaRPr lang="es-PE" sz="3600"/>
            </a:p>
          </xdr:txBody>
        </xdr:sp>
      </mc:Fallback>
    </mc:AlternateContent>
    <xdr:clientData/>
  </xdr:twoCellAnchor>
</xdr:wsDr>
</file>

<file path=xl/drawings/drawing15.xml><?xml version="1.0" encoding="utf-8"?>
<xdr:wsDr xmlns:xdr="http://schemas.openxmlformats.org/drawingml/2006/spreadsheetDrawing" xmlns:a="http://schemas.openxmlformats.org/drawingml/2006/main">
  <xdr:twoCellAnchor>
    <xdr:from>
      <xdr:col>8</xdr:col>
      <xdr:colOff>47625</xdr:colOff>
      <xdr:row>12</xdr:row>
      <xdr:rowOff>109104</xdr:rowOff>
    </xdr:from>
    <xdr:to>
      <xdr:col>9</xdr:col>
      <xdr:colOff>19050</xdr:colOff>
      <xdr:row>12</xdr:row>
      <xdr:rowOff>109104</xdr:rowOff>
    </xdr:to>
    <xdr:cxnSp macro="">
      <xdr:nvCxnSpPr>
        <xdr:cNvPr id="2" name="Conector recto de flecha 1">
          <a:extLst>
            <a:ext uri="{FF2B5EF4-FFF2-40B4-BE49-F238E27FC236}">
              <a16:creationId xmlns:a16="http://schemas.microsoft.com/office/drawing/2014/main" id="{00000000-0008-0000-1000-000002000000}"/>
            </a:ext>
          </a:extLst>
        </xdr:cNvPr>
        <xdr:cNvCxnSpPr/>
      </xdr:nvCxnSpPr>
      <xdr:spPr>
        <a:xfrm>
          <a:off x="6143625" y="2404629"/>
          <a:ext cx="73342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129894</xdr:colOff>
      <xdr:row>11</xdr:row>
      <xdr:rowOff>171450</xdr:rowOff>
    </xdr:from>
    <xdr:to>
      <xdr:col>9</xdr:col>
      <xdr:colOff>502226</xdr:colOff>
      <xdr:row>13</xdr:row>
      <xdr:rowOff>111446</xdr:rowOff>
    </xdr:to>
    <xdr:grpSp>
      <xdr:nvGrpSpPr>
        <xdr:cNvPr id="3" name="30 Grupo">
          <a:extLst>
            <a:ext uri="{FF2B5EF4-FFF2-40B4-BE49-F238E27FC236}">
              <a16:creationId xmlns:a16="http://schemas.microsoft.com/office/drawing/2014/main" id="{00000000-0008-0000-1000-000003000000}"/>
            </a:ext>
          </a:extLst>
        </xdr:cNvPr>
        <xdr:cNvGrpSpPr/>
      </xdr:nvGrpSpPr>
      <xdr:grpSpPr>
        <a:xfrm>
          <a:off x="7273644" y="2276475"/>
          <a:ext cx="372332" cy="320996"/>
          <a:chOff x="5868144" y="5710631"/>
          <a:chExt cx="1152128" cy="874147"/>
        </a:xfrm>
      </xdr:grpSpPr>
      <xdr:cxnSp macro="">
        <xdr:nvCxnSpPr>
          <xdr:cNvPr id="4" name="8 Conector recto">
            <a:extLst>
              <a:ext uri="{FF2B5EF4-FFF2-40B4-BE49-F238E27FC236}">
                <a16:creationId xmlns:a16="http://schemas.microsoft.com/office/drawing/2014/main" id="{00000000-0008-0000-10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10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10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10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10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10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10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238125</xdr:colOff>
      <xdr:row>11</xdr:row>
      <xdr:rowOff>133350</xdr:rowOff>
    </xdr:from>
    <xdr:to>
      <xdr:col>5</xdr:col>
      <xdr:colOff>56284</xdr:colOff>
      <xdr:row>13</xdr:row>
      <xdr:rowOff>72736</xdr:rowOff>
    </xdr:to>
    <xdr:grpSp>
      <xdr:nvGrpSpPr>
        <xdr:cNvPr id="11" name="Grupo 10">
          <a:extLst>
            <a:ext uri="{FF2B5EF4-FFF2-40B4-BE49-F238E27FC236}">
              <a16:creationId xmlns:a16="http://schemas.microsoft.com/office/drawing/2014/main" id="{00000000-0008-0000-1000-00000B000000}"/>
            </a:ext>
          </a:extLst>
        </xdr:cNvPr>
        <xdr:cNvGrpSpPr/>
      </xdr:nvGrpSpPr>
      <xdr:grpSpPr>
        <a:xfrm>
          <a:off x="3286125" y="2238375"/>
          <a:ext cx="627784" cy="320386"/>
          <a:chOff x="2933700" y="1514475"/>
          <a:chExt cx="1647824" cy="857250"/>
        </a:xfrm>
      </xdr:grpSpPr>
      <xdr:sp macro="" textlink="">
        <xdr:nvSpPr>
          <xdr:cNvPr id="12" name="Rectángulo 11">
            <a:extLst>
              <a:ext uri="{FF2B5EF4-FFF2-40B4-BE49-F238E27FC236}">
                <a16:creationId xmlns:a16="http://schemas.microsoft.com/office/drawing/2014/main" id="{00000000-0008-0000-1000-00000C000000}"/>
              </a:ext>
            </a:extLst>
          </xdr:cNvPr>
          <xdr:cNvSpPr/>
        </xdr:nvSpPr>
        <xdr:spPr>
          <a:xfrm>
            <a:off x="2933700" y="1514475"/>
            <a:ext cx="1228726" cy="600075"/>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sp macro="" textlink="">
        <xdr:nvSpPr>
          <xdr:cNvPr id="13" name="Elipse 12">
            <a:extLst>
              <a:ext uri="{FF2B5EF4-FFF2-40B4-BE49-F238E27FC236}">
                <a16:creationId xmlns:a16="http://schemas.microsoft.com/office/drawing/2014/main" id="{00000000-0008-0000-1000-00000D000000}"/>
              </a:ext>
            </a:extLst>
          </xdr:cNvPr>
          <xdr:cNvSpPr/>
        </xdr:nvSpPr>
        <xdr:spPr>
          <a:xfrm>
            <a:off x="3343275"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4" name="Elipse 13">
            <a:extLst>
              <a:ext uri="{FF2B5EF4-FFF2-40B4-BE49-F238E27FC236}">
                <a16:creationId xmlns:a16="http://schemas.microsoft.com/office/drawing/2014/main" id="{00000000-0008-0000-1000-00000E000000}"/>
              </a:ext>
            </a:extLst>
          </xdr:cNvPr>
          <xdr:cNvSpPr/>
        </xdr:nvSpPr>
        <xdr:spPr>
          <a:xfrm>
            <a:off x="3810000" y="2124075"/>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5" name="Rectángulo: esquinas redondeadas 14">
            <a:extLst>
              <a:ext uri="{FF2B5EF4-FFF2-40B4-BE49-F238E27FC236}">
                <a16:creationId xmlns:a16="http://schemas.microsoft.com/office/drawing/2014/main" id="{00000000-0008-0000-1000-00000F000000}"/>
              </a:ext>
            </a:extLst>
          </xdr:cNvPr>
          <xdr:cNvSpPr/>
        </xdr:nvSpPr>
        <xdr:spPr>
          <a:xfrm>
            <a:off x="4200525" y="1685925"/>
            <a:ext cx="380999" cy="409575"/>
          </a:xfrm>
          <a:prstGeom prst="round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6" name="Elipse 15">
            <a:extLst>
              <a:ext uri="{FF2B5EF4-FFF2-40B4-BE49-F238E27FC236}">
                <a16:creationId xmlns:a16="http://schemas.microsoft.com/office/drawing/2014/main" id="{00000000-0008-0000-1000-000010000000}"/>
              </a:ext>
            </a:extLst>
          </xdr:cNvPr>
          <xdr:cNvSpPr/>
        </xdr:nvSpPr>
        <xdr:spPr>
          <a:xfrm>
            <a:off x="42672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sp macro="" textlink="">
        <xdr:nvSpPr>
          <xdr:cNvPr id="17" name="Elipse 16">
            <a:extLst>
              <a:ext uri="{FF2B5EF4-FFF2-40B4-BE49-F238E27FC236}">
                <a16:creationId xmlns:a16="http://schemas.microsoft.com/office/drawing/2014/main" id="{00000000-0008-0000-1000-000011000000}"/>
              </a:ext>
            </a:extLst>
          </xdr:cNvPr>
          <xdr:cNvSpPr/>
        </xdr:nvSpPr>
        <xdr:spPr>
          <a:xfrm>
            <a:off x="3048000" y="2114550"/>
            <a:ext cx="247650" cy="247650"/>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grpSp>
    <xdr:clientData/>
  </xdr:twoCellAnchor>
  <xdr:twoCellAnchor>
    <xdr:from>
      <xdr:col>5</xdr:col>
      <xdr:colOff>133350</xdr:colOff>
      <xdr:row>12</xdr:row>
      <xdr:rowOff>109104</xdr:rowOff>
    </xdr:from>
    <xdr:to>
      <xdr:col>5</xdr:col>
      <xdr:colOff>742950</xdr:colOff>
      <xdr:row>12</xdr:row>
      <xdr:rowOff>114300</xdr:rowOff>
    </xdr:to>
    <xdr:cxnSp macro="">
      <xdr:nvCxnSpPr>
        <xdr:cNvPr id="18" name="Conector recto de flecha 17">
          <a:extLst>
            <a:ext uri="{FF2B5EF4-FFF2-40B4-BE49-F238E27FC236}">
              <a16:creationId xmlns:a16="http://schemas.microsoft.com/office/drawing/2014/main" id="{00000000-0008-0000-1000-000012000000}"/>
            </a:ext>
          </a:extLst>
        </xdr:cNvPr>
        <xdr:cNvCxnSpPr/>
      </xdr:nvCxnSpPr>
      <xdr:spPr>
        <a:xfrm flipV="1">
          <a:off x="3943350" y="2404629"/>
          <a:ext cx="609600" cy="5196"/>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16</xdr:row>
      <xdr:rowOff>85725</xdr:rowOff>
    </xdr:from>
    <xdr:to>
      <xdr:col>10</xdr:col>
      <xdr:colOff>438150</xdr:colOff>
      <xdr:row>19</xdr:row>
      <xdr:rowOff>150746</xdr:rowOff>
    </xdr:to>
    <mc:AlternateContent xmlns:mc="http://schemas.openxmlformats.org/markup-compatibility/2006" xmlns:a14="http://schemas.microsoft.com/office/drawing/2010/main">
      <mc:Choice Requires="a14">
        <xdr:sp macro="" textlink="">
          <xdr:nvSpPr>
            <xdr:cNvPr id="19" name="CuadroTexto 46">
              <a:extLst>
                <a:ext uri="{FF2B5EF4-FFF2-40B4-BE49-F238E27FC236}">
                  <a16:creationId xmlns:a16="http://schemas.microsoft.com/office/drawing/2014/main" id="{00000000-0008-0000-1000-000013000000}"/>
                </a:ext>
              </a:extLst>
            </xdr:cNvPr>
            <xdr:cNvSpPr txBox="1"/>
          </xdr:nvSpPr>
          <xdr:spPr>
            <a:xfrm>
              <a:off x="6943725" y="3152775"/>
              <a:ext cx="1114425" cy="636521"/>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400" i="1">
                        <a:latin typeface="Cambria Math" panose="02040503050406030204" pitchFamily="18" charset="0"/>
                      </a:rPr>
                      <m:t>𝑄</m:t>
                    </m:r>
                    <m:r>
                      <a:rPr lang="es-PE" sz="1400" i="0">
                        <a:latin typeface="Cambria Math" panose="02040503050406030204" pitchFamily="18" charset="0"/>
                      </a:rPr>
                      <m:t>=</m:t>
                    </m:r>
                    <m:rad>
                      <m:radPr>
                        <m:degHide m:val="on"/>
                        <m:ctrlPr>
                          <a:rPr lang="es-PE" sz="1400" i="1">
                            <a:latin typeface="Cambria Math" panose="02040503050406030204" pitchFamily="18" charset="0"/>
                          </a:rPr>
                        </m:ctrlPr>
                      </m:radPr>
                      <m:deg/>
                      <m:e>
                        <m:f>
                          <m:fPr>
                            <m:ctrlPr>
                              <a:rPr lang="es-PE" sz="1400" i="1">
                                <a:latin typeface="Cambria Math" panose="02040503050406030204" pitchFamily="18" charset="0"/>
                              </a:rPr>
                            </m:ctrlPr>
                          </m:fPr>
                          <m:num>
                            <m:r>
                              <a:rPr lang="es-PE" sz="1400" i="0">
                                <a:latin typeface="Cambria Math" panose="02040503050406030204" pitchFamily="18" charset="0"/>
                              </a:rPr>
                              <m:t>2</m:t>
                            </m:r>
                            <m:r>
                              <a:rPr lang="es-PE" sz="1400" i="1">
                                <a:latin typeface="Cambria Math" panose="02040503050406030204" pitchFamily="18" charset="0"/>
                              </a:rPr>
                              <m:t>𝐷𝑆</m:t>
                            </m:r>
                          </m:num>
                          <m:den>
                            <m:r>
                              <a:rPr lang="es-PE" sz="1400" i="1">
                                <a:latin typeface="Cambria Math" panose="02040503050406030204" pitchFamily="18" charset="0"/>
                              </a:rPr>
                              <m:t>𝐼𝐶</m:t>
                            </m:r>
                          </m:den>
                        </m:f>
                      </m:e>
                    </m:rad>
                  </m:oMath>
                </m:oMathPara>
              </a14:m>
              <a:endParaRPr lang="es-PE" sz="2000"/>
            </a:p>
          </xdr:txBody>
        </xdr:sp>
      </mc:Choice>
      <mc:Fallback xmlns="">
        <xdr:sp macro="" textlink="">
          <xdr:nvSpPr>
            <xdr:cNvPr id="19" name="CuadroTexto 46">
              <a:extLst>
                <a:ext uri="{FF2B5EF4-FFF2-40B4-BE49-F238E27FC236}">
                  <a16:creationId xmlns:a16="http://schemas.microsoft.com/office/drawing/2014/main" id="{0C556AD2-CF46-4B5C-8B9A-EAA375BDF80C}"/>
                </a:ext>
              </a:extLst>
            </xdr:cNvPr>
            <xdr:cNvSpPr txBox="1"/>
          </xdr:nvSpPr>
          <xdr:spPr>
            <a:xfrm>
              <a:off x="6943725" y="3152775"/>
              <a:ext cx="1114425" cy="636521"/>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400" i="0">
                  <a:latin typeface="Cambria Math" panose="02040503050406030204" pitchFamily="18" charset="0"/>
                </a:rPr>
                <a:t>𝑄=√(2𝐷𝑆/𝐼𝐶)</a:t>
              </a:r>
              <a:endParaRPr lang="es-PE" sz="2000"/>
            </a:p>
          </xdr:txBody>
        </xdr:sp>
      </mc:Fallback>
    </mc:AlternateContent>
    <xdr:clientData/>
  </xdr:twoCellAnchor>
  <xdr:twoCellAnchor>
    <xdr:from>
      <xdr:col>9</xdr:col>
      <xdr:colOff>95192</xdr:colOff>
      <xdr:row>22</xdr:row>
      <xdr:rowOff>189907</xdr:rowOff>
    </xdr:from>
    <xdr:to>
      <xdr:col>10</xdr:col>
      <xdr:colOff>123826</xdr:colOff>
      <xdr:row>25</xdr:row>
      <xdr:rowOff>137011</xdr:rowOff>
    </xdr:to>
    <mc:AlternateContent xmlns:mc="http://schemas.openxmlformats.org/markup-compatibility/2006" xmlns:a14="http://schemas.microsoft.com/office/drawing/2010/main">
      <mc:Choice Requires="a14">
        <xdr:sp macro="" textlink="">
          <xdr:nvSpPr>
            <xdr:cNvPr id="20" name="CuadroTexto 2">
              <a:extLst>
                <a:ext uri="{FF2B5EF4-FFF2-40B4-BE49-F238E27FC236}">
                  <a16:creationId xmlns:a16="http://schemas.microsoft.com/office/drawing/2014/main" id="{00000000-0008-0000-1000-000014000000}"/>
                </a:ext>
              </a:extLst>
            </xdr:cNvPr>
            <xdr:cNvSpPr txBox="1"/>
          </xdr:nvSpPr>
          <xdr:spPr>
            <a:xfrm>
              <a:off x="6953192" y="4399957"/>
              <a:ext cx="790634" cy="51860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800" b="0" i="1">
                        <a:latin typeface="Cambria Math" panose="02040503050406030204" pitchFamily="18" charset="0"/>
                      </a:rPr>
                      <m:t>𝑇</m:t>
                    </m:r>
                    <m:r>
                      <a:rPr lang="es-PE" sz="1800" b="0" i="0">
                        <a:latin typeface="Cambria Math" panose="02040503050406030204" pitchFamily="18" charset="0"/>
                      </a:rPr>
                      <m:t>=</m:t>
                    </m:r>
                    <m:f>
                      <m:fPr>
                        <m:ctrlPr>
                          <a:rPr lang="es-PE" sz="1800" b="0" i="1">
                            <a:latin typeface="Cambria Math" panose="02040503050406030204" pitchFamily="18" charset="0"/>
                          </a:rPr>
                        </m:ctrlPr>
                      </m:fPr>
                      <m:num>
                        <m:r>
                          <a:rPr lang="es-PE" sz="1800" b="0" i="1">
                            <a:latin typeface="Cambria Math" panose="02040503050406030204" pitchFamily="18" charset="0"/>
                          </a:rPr>
                          <m:t>𝑄</m:t>
                        </m:r>
                      </m:num>
                      <m:den>
                        <m:r>
                          <a:rPr lang="es-PE" sz="1800" b="0" i="1">
                            <a:latin typeface="Cambria Math" panose="02040503050406030204" pitchFamily="18" charset="0"/>
                          </a:rPr>
                          <m:t>𝐷</m:t>
                        </m:r>
                      </m:den>
                    </m:f>
                  </m:oMath>
                </m:oMathPara>
              </a14:m>
              <a:endParaRPr lang="es-PE" sz="1800" b="0"/>
            </a:p>
          </xdr:txBody>
        </xdr:sp>
      </mc:Choice>
      <mc:Fallback xmlns="">
        <xdr:sp macro="" textlink="">
          <xdr:nvSpPr>
            <xdr:cNvPr id="20" name="CuadroTexto 2">
              <a:extLst>
                <a:ext uri="{FF2B5EF4-FFF2-40B4-BE49-F238E27FC236}">
                  <a16:creationId xmlns:a16="http://schemas.microsoft.com/office/drawing/2014/main" id="{63D0D50F-3016-4404-B305-E5B4FBCD194B}"/>
                </a:ext>
              </a:extLst>
            </xdr:cNvPr>
            <xdr:cNvSpPr txBox="1"/>
          </xdr:nvSpPr>
          <xdr:spPr>
            <a:xfrm>
              <a:off x="6953192" y="4399957"/>
              <a:ext cx="790634" cy="518604"/>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800" b="0" i="0">
                  <a:latin typeface="Cambria Math" panose="02040503050406030204" pitchFamily="18" charset="0"/>
                </a:rPr>
                <a:t>𝑇=𝑄/𝐷</a:t>
              </a:r>
              <a:endParaRPr lang="es-PE" sz="1800" b="0"/>
            </a:p>
          </xdr:txBody>
        </xdr:sp>
      </mc:Fallback>
    </mc:AlternateContent>
    <xdr:clientData/>
  </xdr:twoCellAnchor>
  <xdr:twoCellAnchor>
    <xdr:from>
      <xdr:col>10</xdr:col>
      <xdr:colOff>415823</xdr:colOff>
      <xdr:row>21</xdr:row>
      <xdr:rowOff>165262</xdr:rowOff>
    </xdr:from>
    <xdr:to>
      <xdr:col>11</xdr:col>
      <xdr:colOff>552451</xdr:colOff>
      <xdr:row>25</xdr:row>
      <xdr:rowOff>154814</xdr:rowOff>
    </xdr:to>
    <mc:AlternateContent xmlns:mc="http://schemas.openxmlformats.org/markup-compatibility/2006" xmlns:a14="http://schemas.microsoft.com/office/drawing/2010/main">
      <mc:Choice Requires="a14">
        <xdr:sp macro="" textlink="">
          <xdr:nvSpPr>
            <xdr:cNvPr id="21" name="CuadroTexto 4">
              <a:extLst>
                <a:ext uri="{FF2B5EF4-FFF2-40B4-BE49-F238E27FC236}">
                  <a16:creationId xmlns:a16="http://schemas.microsoft.com/office/drawing/2014/main" id="{00000000-0008-0000-1000-000015000000}"/>
                </a:ext>
              </a:extLst>
            </xdr:cNvPr>
            <xdr:cNvSpPr txBox="1"/>
          </xdr:nvSpPr>
          <xdr:spPr>
            <a:xfrm>
              <a:off x="8035823" y="4184812"/>
              <a:ext cx="1146278" cy="751552"/>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PE" sz="2400" b="0"/>
                <a:t>T </a:t>
              </a:r>
              <a14:m>
                <m:oMath xmlns:m="http://schemas.openxmlformats.org/officeDocument/2006/math">
                  <m:r>
                    <a:rPr lang="es-PE" sz="2400" b="0" i="0">
                      <a:latin typeface="Cambria Math" panose="02040503050406030204" pitchFamily="18" charset="0"/>
                    </a:rPr>
                    <m:t>=</m:t>
                  </m:r>
                  <m:rad>
                    <m:radPr>
                      <m:degHide m:val="on"/>
                      <m:ctrlPr>
                        <a:rPr lang="es-PE" sz="2400" b="0" i="1">
                          <a:latin typeface="Cambria Math" panose="02040503050406030204" pitchFamily="18" charset="0"/>
                        </a:rPr>
                      </m:ctrlPr>
                    </m:radPr>
                    <m:deg/>
                    <m:e>
                      <m:f>
                        <m:fPr>
                          <m:ctrlPr>
                            <a:rPr lang="es-PE" sz="2400" b="0" i="1">
                              <a:latin typeface="Cambria Math" panose="02040503050406030204" pitchFamily="18" charset="0"/>
                            </a:rPr>
                          </m:ctrlPr>
                        </m:fPr>
                        <m:num>
                          <m:r>
                            <a:rPr lang="es-PE" sz="2400" b="0" i="0">
                              <a:latin typeface="Cambria Math" panose="02040503050406030204" pitchFamily="18" charset="0"/>
                            </a:rPr>
                            <m:t>2</m:t>
                          </m:r>
                          <m:r>
                            <a:rPr lang="es-PE" sz="2400" b="0" i="1">
                              <a:latin typeface="Cambria Math" panose="02040503050406030204" pitchFamily="18" charset="0"/>
                            </a:rPr>
                            <m:t>𝑆</m:t>
                          </m:r>
                        </m:num>
                        <m:den>
                          <m:r>
                            <a:rPr lang="es-PE" sz="2400" b="0" i="1">
                              <a:latin typeface="Cambria Math" panose="02040503050406030204" pitchFamily="18" charset="0"/>
                            </a:rPr>
                            <m:t>𝐷𝐻</m:t>
                          </m:r>
                        </m:den>
                      </m:f>
                    </m:e>
                  </m:rad>
                </m:oMath>
              </a14:m>
              <a:endParaRPr lang="es-PE" sz="2400" b="0"/>
            </a:p>
          </xdr:txBody>
        </xdr:sp>
      </mc:Choice>
      <mc:Fallback xmlns="">
        <xdr:sp macro="" textlink="">
          <xdr:nvSpPr>
            <xdr:cNvPr id="21" name="CuadroTexto 4">
              <a:extLst>
                <a:ext uri="{FF2B5EF4-FFF2-40B4-BE49-F238E27FC236}">
                  <a16:creationId xmlns:a16="http://schemas.microsoft.com/office/drawing/2014/main" id="{4CF7BFB0-FD03-42D3-8C32-BDAE9B604CD9}"/>
                </a:ext>
              </a:extLst>
            </xdr:cNvPr>
            <xdr:cNvSpPr txBox="1"/>
          </xdr:nvSpPr>
          <xdr:spPr>
            <a:xfrm>
              <a:off x="8035823" y="4184812"/>
              <a:ext cx="1146278" cy="751552"/>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PE" sz="2400" b="0"/>
                <a:t>T </a:t>
              </a:r>
              <a:r>
                <a:rPr lang="es-PE" sz="2400" b="0" i="0">
                  <a:latin typeface="Cambria Math" panose="02040503050406030204" pitchFamily="18" charset="0"/>
                </a:rPr>
                <a:t>=√(2𝑆/𝐷𝐻)</a:t>
              </a:r>
              <a:endParaRPr lang="es-PE" sz="2400" b="0"/>
            </a:p>
          </xdr:txBody>
        </xdr:sp>
      </mc:Fallback>
    </mc:AlternateContent>
    <xdr:clientData/>
  </xdr:twoCellAnchor>
  <xdr:twoCellAnchor>
    <xdr:from>
      <xdr:col>9</xdr:col>
      <xdr:colOff>111382</xdr:colOff>
      <xdr:row>26</xdr:row>
      <xdr:rowOff>67539</xdr:rowOff>
    </xdr:from>
    <xdr:to>
      <xdr:col>13</xdr:col>
      <xdr:colOff>571501</xdr:colOff>
      <xdr:row>28</xdr:row>
      <xdr:rowOff>124864</xdr:rowOff>
    </xdr:to>
    <mc:AlternateContent xmlns:mc="http://schemas.openxmlformats.org/markup-compatibility/2006" xmlns:a14="http://schemas.microsoft.com/office/drawing/2010/main">
      <mc:Choice Requires="a14">
        <xdr:sp macro="" textlink="">
          <xdr:nvSpPr>
            <xdr:cNvPr id="22" name="CuadroTexto 5">
              <a:extLst>
                <a:ext uri="{FF2B5EF4-FFF2-40B4-BE49-F238E27FC236}">
                  <a16:creationId xmlns:a16="http://schemas.microsoft.com/office/drawing/2014/main" id="{00000000-0008-0000-1000-000016000000}"/>
                </a:ext>
              </a:extLst>
            </xdr:cNvPr>
            <xdr:cNvSpPr txBox="1"/>
          </xdr:nvSpPr>
          <xdr:spPr>
            <a:xfrm>
              <a:off x="6969382" y="5039589"/>
              <a:ext cx="3860544" cy="43832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800" i="1">
                        <a:latin typeface="Cambria Math" panose="02040503050406030204" pitchFamily="18" charset="0"/>
                      </a:rPr>
                      <m:t>𝑀</m:t>
                    </m:r>
                    <m:r>
                      <a:rPr lang="es-PE" sz="2800" i="1">
                        <a:latin typeface="Cambria Math" panose="02040503050406030204" pitchFamily="18" charset="0"/>
                      </a:rPr>
                      <m:t>=</m:t>
                    </m:r>
                    <m:r>
                      <a:rPr lang="es-PE" sz="2800" i="1">
                        <a:latin typeface="Cambria Math" panose="02040503050406030204" pitchFamily="18" charset="0"/>
                      </a:rPr>
                      <m:t>𝑑</m:t>
                    </m:r>
                    <m:r>
                      <a:rPr lang="es-PE" sz="2800" i="1">
                        <a:latin typeface="Cambria Math" panose="02040503050406030204" pitchFamily="18" charset="0"/>
                      </a:rPr>
                      <m:t>×</m:t>
                    </m:r>
                    <m:d>
                      <m:dPr>
                        <m:ctrlPr>
                          <a:rPr lang="es-PE" sz="2800" i="1">
                            <a:latin typeface="Cambria Math" panose="02040503050406030204" pitchFamily="18" charset="0"/>
                          </a:rPr>
                        </m:ctrlPr>
                      </m:dPr>
                      <m:e>
                        <m:r>
                          <a:rPr lang="es-PE" sz="2800" i="1">
                            <a:latin typeface="Cambria Math" panose="02040503050406030204" pitchFamily="18" charset="0"/>
                          </a:rPr>
                          <m:t>𝑇𝐸</m:t>
                        </m:r>
                        <m:r>
                          <a:rPr lang="es-PE" sz="2800" i="1">
                            <a:latin typeface="Cambria Math" panose="02040503050406030204" pitchFamily="18" charset="0"/>
                          </a:rPr>
                          <m:t>+</m:t>
                        </m:r>
                        <m:r>
                          <a:rPr lang="es-PE" sz="2800" i="1">
                            <a:latin typeface="Cambria Math" panose="02040503050406030204" pitchFamily="18" charset="0"/>
                          </a:rPr>
                          <m:t>𝑇</m:t>
                        </m:r>
                      </m:e>
                    </m:d>
                    <m:r>
                      <a:rPr lang="es-PE" sz="2800" i="1">
                        <a:latin typeface="Cambria Math" panose="02040503050406030204" pitchFamily="18" charset="0"/>
                      </a:rPr>
                      <m:t>+</m:t>
                    </m:r>
                    <m:r>
                      <a:rPr lang="es-PE" sz="2800" i="1">
                        <a:latin typeface="Cambria Math" panose="02040503050406030204" pitchFamily="18" charset="0"/>
                      </a:rPr>
                      <m:t>𝑆𝑆</m:t>
                    </m:r>
                  </m:oMath>
                </m:oMathPara>
              </a14:m>
              <a:endParaRPr lang="es-PE" sz="2800"/>
            </a:p>
          </xdr:txBody>
        </xdr:sp>
      </mc:Choice>
      <mc:Fallback xmlns="">
        <xdr:sp macro="" textlink="">
          <xdr:nvSpPr>
            <xdr:cNvPr id="22" name="CuadroTexto 5">
              <a:extLst>
                <a:ext uri="{FF2B5EF4-FFF2-40B4-BE49-F238E27FC236}">
                  <a16:creationId xmlns:a16="http://schemas.microsoft.com/office/drawing/2014/main" id="{000B9026-CF53-4556-8ED3-0D704042E150}"/>
                </a:ext>
              </a:extLst>
            </xdr:cNvPr>
            <xdr:cNvSpPr txBox="1"/>
          </xdr:nvSpPr>
          <xdr:spPr>
            <a:xfrm>
              <a:off x="6969382" y="5039589"/>
              <a:ext cx="3860544" cy="43832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800" i="0">
                  <a:latin typeface="Cambria Math" panose="02040503050406030204" pitchFamily="18" charset="0"/>
                </a:rPr>
                <a:t>𝑀=𝑑×(𝑇𝐸+𝑇)+𝑆𝑆</a:t>
              </a:r>
              <a:endParaRPr lang="es-PE" sz="2800"/>
            </a:p>
          </xdr:txBody>
        </xdr:sp>
      </mc:Fallback>
    </mc:AlternateContent>
    <xdr:clientData/>
  </xdr:twoCellAnchor>
</xdr:wsDr>
</file>

<file path=xl/drawings/drawing16.xml><?xml version="1.0" encoding="utf-8"?>
<xdr:wsDr xmlns:xdr="http://schemas.openxmlformats.org/drawingml/2006/spreadsheetDrawing" xmlns:a="http://schemas.openxmlformats.org/drawingml/2006/main">
  <xdr:twoCellAnchor>
    <xdr:from>
      <xdr:col>4</xdr:col>
      <xdr:colOff>47625</xdr:colOff>
      <xdr:row>12</xdr:row>
      <xdr:rowOff>0</xdr:rowOff>
    </xdr:from>
    <xdr:to>
      <xdr:col>4</xdr:col>
      <xdr:colOff>742950</xdr:colOff>
      <xdr:row>12</xdr:row>
      <xdr:rowOff>9525</xdr:rowOff>
    </xdr:to>
    <xdr:cxnSp macro="">
      <xdr:nvCxnSpPr>
        <xdr:cNvPr id="2" name="Conector recto de flecha 1">
          <a:extLst>
            <a:ext uri="{FF2B5EF4-FFF2-40B4-BE49-F238E27FC236}">
              <a16:creationId xmlns:a16="http://schemas.microsoft.com/office/drawing/2014/main" id="{00000000-0008-0000-1100-000002000000}"/>
            </a:ext>
          </a:extLst>
        </xdr:cNvPr>
        <xdr:cNvCxnSpPr/>
      </xdr:nvCxnSpPr>
      <xdr:spPr>
        <a:xfrm>
          <a:off x="3095625" y="2581275"/>
          <a:ext cx="695325" cy="952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11</xdr:row>
      <xdr:rowOff>466725</xdr:rowOff>
    </xdr:from>
    <xdr:to>
      <xdr:col>9</xdr:col>
      <xdr:colOff>28575</xdr:colOff>
      <xdr:row>12</xdr:row>
      <xdr:rowOff>1</xdr:rowOff>
    </xdr:to>
    <xdr:cxnSp macro="">
      <xdr:nvCxnSpPr>
        <xdr:cNvPr id="3" name="Conector recto de flecha 2">
          <a:extLst>
            <a:ext uri="{FF2B5EF4-FFF2-40B4-BE49-F238E27FC236}">
              <a16:creationId xmlns:a16="http://schemas.microsoft.com/office/drawing/2014/main" id="{00000000-0008-0000-1100-000003000000}"/>
            </a:ext>
          </a:extLst>
        </xdr:cNvPr>
        <xdr:cNvCxnSpPr/>
      </xdr:nvCxnSpPr>
      <xdr:spPr>
        <a:xfrm flipV="1">
          <a:off x="6238875" y="2571750"/>
          <a:ext cx="733425" cy="9526"/>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148944</xdr:colOff>
      <xdr:row>11</xdr:row>
      <xdr:rowOff>129021</xdr:rowOff>
    </xdr:from>
    <xdr:to>
      <xdr:col>9</xdr:col>
      <xdr:colOff>521276</xdr:colOff>
      <xdr:row>13</xdr:row>
      <xdr:rowOff>69017</xdr:rowOff>
    </xdr:to>
    <xdr:grpSp>
      <xdr:nvGrpSpPr>
        <xdr:cNvPr id="4" name="30 Grupo">
          <a:extLst>
            <a:ext uri="{FF2B5EF4-FFF2-40B4-BE49-F238E27FC236}">
              <a16:creationId xmlns:a16="http://schemas.microsoft.com/office/drawing/2014/main" id="{00000000-0008-0000-1100-000004000000}"/>
            </a:ext>
          </a:extLst>
        </xdr:cNvPr>
        <xdr:cNvGrpSpPr/>
      </xdr:nvGrpSpPr>
      <xdr:grpSpPr>
        <a:xfrm>
          <a:off x="6911694" y="2234046"/>
          <a:ext cx="372332" cy="606746"/>
          <a:chOff x="5868144" y="5710631"/>
          <a:chExt cx="1152128" cy="874147"/>
        </a:xfrm>
      </xdr:grpSpPr>
      <xdr:cxnSp macro="">
        <xdr:nvCxnSpPr>
          <xdr:cNvPr id="5" name="8 Conector recto">
            <a:extLst>
              <a:ext uri="{FF2B5EF4-FFF2-40B4-BE49-F238E27FC236}">
                <a16:creationId xmlns:a16="http://schemas.microsoft.com/office/drawing/2014/main" id="{00000000-0008-0000-1100-000005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0000000-0008-0000-1100-000006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00000000-0008-0000-1100-000007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00000000-0008-0000-1100-000008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00000000-0008-0000-1100-000009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00000000-0008-0000-1100-00000A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00000000-0008-0000-1100-00000B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47625</xdr:colOff>
      <xdr:row>11</xdr:row>
      <xdr:rowOff>190500</xdr:rowOff>
    </xdr:from>
    <xdr:to>
      <xdr:col>5</xdr:col>
      <xdr:colOff>419957</xdr:colOff>
      <xdr:row>13</xdr:row>
      <xdr:rowOff>130496</xdr:rowOff>
    </xdr:to>
    <xdr:grpSp>
      <xdr:nvGrpSpPr>
        <xdr:cNvPr id="12" name="30 Grupo">
          <a:extLst>
            <a:ext uri="{FF2B5EF4-FFF2-40B4-BE49-F238E27FC236}">
              <a16:creationId xmlns:a16="http://schemas.microsoft.com/office/drawing/2014/main" id="{00000000-0008-0000-1100-00000C000000}"/>
            </a:ext>
          </a:extLst>
        </xdr:cNvPr>
        <xdr:cNvGrpSpPr/>
      </xdr:nvGrpSpPr>
      <xdr:grpSpPr>
        <a:xfrm>
          <a:off x="3590925" y="2295525"/>
          <a:ext cx="372332" cy="606746"/>
          <a:chOff x="5868144" y="5710631"/>
          <a:chExt cx="1152128" cy="874147"/>
        </a:xfrm>
      </xdr:grpSpPr>
      <xdr:cxnSp macro="">
        <xdr:nvCxnSpPr>
          <xdr:cNvPr id="13" name="8 Conector recto">
            <a:extLst>
              <a:ext uri="{FF2B5EF4-FFF2-40B4-BE49-F238E27FC236}">
                <a16:creationId xmlns:a16="http://schemas.microsoft.com/office/drawing/2014/main" id="{00000000-0008-0000-11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11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11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11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11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11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11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47625</xdr:colOff>
      <xdr:row>12</xdr:row>
      <xdr:rowOff>0</xdr:rowOff>
    </xdr:from>
    <xdr:to>
      <xdr:col>4</xdr:col>
      <xdr:colOff>742950</xdr:colOff>
      <xdr:row>12</xdr:row>
      <xdr:rowOff>9525</xdr:rowOff>
    </xdr:to>
    <xdr:cxnSp macro="">
      <xdr:nvCxnSpPr>
        <xdr:cNvPr id="2" name="Conector recto de flecha 1">
          <a:extLst>
            <a:ext uri="{FF2B5EF4-FFF2-40B4-BE49-F238E27FC236}">
              <a16:creationId xmlns:a16="http://schemas.microsoft.com/office/drawing/2014/main" id="{00000000-0008-0000-1200-000002000000}"/>
            </a:ext>
          </a:extLst>
        </xdr:cNvPr>
        <xdr:cNvCxnSpPr/>
      </xdr:nvCxnSpPr>
      <xdr:spPr>
        <a:xfrm>
          <a:off x="3095625" y="2581275"/>
          <a:ext cx="695325" cy="952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xdr:colOff>
      <xdr:row>11</xdr:row>
      <xdr:rowOff>466725</xdr:rowOff>
    </xdr:from>
    <xdr:to>
      <xdr:col>9</xdr:col>
      <xdr:colOff>28575</xdr:colOff>
      <xdr:row>12</xdr:row>
      <xdr:rowOff>1</xdr:rowOff>
    </xdr:to>
    <xdr:cxnSp macro="">
      <xdr:nvCxnSpPr>
        <xdr:cNvPr id="3" name="Conector recto de flecha 2">
          <a:extLst>
            <a:ext uri="{FF2B5EF4-FFF2-40B4-BE49-F238E27FC236}">
              <a16:creationId xmlns:a16="http://schemas.microsoft.com/office/drawing/2014/main" id="{00000000-0008-0000-1200-000003000000}"/>
            </a:ext>
          </a:extLst>
        </xdr:cNvPr>
        <xdr:cNvCxnSpPr/>
      </xdr:nvCxnSpPr>
      <xdr:spPr>
        <a:xfrm flipV="1">
          <a:off x="6238875" y="2571750"/>
          <a:ext cx="733425" cy="9526"/>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148944</xdr:colOff>
      <xdr:row>11</xdr:row>
      <xdr:rowOff>129021</xdr:rowOff>
    </xdr:from>
    <xdr:to>
      <xdr:col>9</xdr:col>
      <xdr:colOff>521276</xdr:colOff>
      <xdr:row>13</xdr:row>
      <xdr:rowOff>69017</xdr:rowOff>
    </xdr:to>
    <xdr:grpSp>
      <xdr:nvGrpSpPr>
        <xdr:cNvPr id="4" name="30 Grupo">
          <a:extLst>
            <a:ext uri="{FF2B5EF4-FFF2-40B4-BE49-F238E27FC236}">
              <a16:creationId xmlns:a16="http://schemas.microsoft.com/office/drawing/2014/main" id="{00000000-0008-0000-1200-000004000000}"/>
            </a:ext>
          </a:extLst>
        </xdr:cNvPr>
        <xdr:cNvGrpSpPr/>
      </xdr:nvGrpSpPr>
      <xdr:grpSpPr>
        <a:xfrm>
          <a:off x="6864069" y="2234046"/>
          <a:ext cx="372332" cy="606746"/>
          <a:chOff x="5868144" y="5710631"/>
          <a:chExt cx="1152128" cy="874147"/>
        </a:xfrm>
      </xdr:grpSpPr>
      <xdr:cxnSp macro="">
        <xdr:nvCxnSpPr>
          <xdr:cNvPr id="5" name="8 Conector recto">
            <a:extLst>
              <a:ext uri="{FF2B5EF4-FFF2-40B4-BE49-F238E27FC236}">
                <a16:creationId xmlns:a16="http://schemas.microsoft.com/office/drawing/2014/main" id="{00000000-0008-0000-1200-000005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0000000-0008-0000-1200-000006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00000000-0008-0000-1200-000007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00000000-0008-0000-1200-000008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00000000-0008-0000-1200-000009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00000000-0008-0000-1200-00000A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00000000-0008-0000-1200-00000B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47625</xdr:colOff>
      <xdr:row>11</xdr:row>
      <xdr:rowOff>190500</xdr:rowOff>
    </xdr:from>
    <xdr:to>
      <xdr:col>5</xdr:col>
      <xdr:colOff>419957</xdr:colOff>
      <xdr:row>13</xdr:row>
      <xdr:rowOff>130496</xdr:rowOff>
    </xdr:to>
    <xdr:grpSp>
      <xdr:nvGrpSpPr>
        <xdr:cNvPr id="12" name="30 Grupo">
          <a:extLst>
            <a:ext uri="{FF2B5EF4-FFF2-40B4-BE49-F238E27FC236}">
              <a16:creationId xmlns:a16="http://schemas.microsoft.com/office/drawing/2014/main" id="{00000000-0008-0000-1200-00000C000000}"/>
            </a:ext>
          </a:extLst>
        </xdr:cNvPr>
        <xdr:cNvGrpSpPr/>
      </xdr:nvGrpSpPr>
      <xdr:grpSpPr>
        <a:xfrm>
          <a:off x="3629025" y="2295525"/>
          <a:ext cx="372332" cy="606746"/>
          <a:chOff x="5868144" y="5710631"/>
          <a:chExt cx="1152128" cy="874147"/>
        </a:xfrm>
      </xdr:grpSpPr>
      <xdr:cxnSp macro="">
        <xdr:nvCxnSpPr>
          <xdr:cNvPr id="13" name="8 Conector recto">
            <a:extLst>
              <a:ext uri="{FF2B5EF4-FFF2-40B4-BE49-F238E27FC236}">
                <a16:creationId xmlns:a16="http://schemas.microsoft.com/office/drawing/2014/main" id="{00000000-0008-0000-12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12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12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12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12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12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12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9</xdr:col>
      <xdr:colOff>133350</xdr:colOff>
      <xdr:row>19</xdr:row>
      <xdr:rowOff>85725</xdr:rowOff>
    </xdr:from>
    <xdr:ext cx="4988802" cy="468911"/>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1200-000014000000}"/>
                </a:ext>
              </a:extLst>
            </xdr:cNvPr>
            <xdr:cNvSpPr txBox="1"/>
          </xdr:nvSpPr>
          <xdr:spPr>
            <a:xfrm>
              <a:off x="7077075" y="4010025"/>
              <a:ext cx="4988802" cy="468911"/>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000"/>
                <a:t>Costo</a:t>
              </a:r>
              <a:r>
                <a:rPr lang="es-PE" sz="2000" baseline="0"/>
                <a:t> x Falta de Existencias</a:t>
              </a:r>
              <a14:m>
                <m:oMath xmlns:m="http://schemas.openxmlformats.org/officeDocument/2006/math">
                  <m:r>
                    <a:rPr lang="es-PE" sz="2000" i="0">
                      <a:latin typeface="Cambria Math" panose="02040503050406030204" pitchFamily="18" charset="0"/>
                    </a:rPr>
                    <m:t>=</m:t>
                  </m:r>
                  <m:f>
                    <m:fPr>
                      <m:ctrlPr>
                        <a:rPr lang="es-PE" sz="2000" i="1">
                          <a:latin typeface="Cambria Math" panose="02040503050406030204" pitchFamily="18" charset="0"/>
                        </a:rPr>
                      </m:ctrlPr>
                    </m:fPr>
                    <m:num>
                      <m:r>
                        <a:rPr lang="es-PE" sz="2000" i="1">
                          <a:latin typeface="Cambria Math" panose="02040503050406030204" pitchFamily="18" charset="0"/>
                        </a:rPr>
                        <m:t>𝐷</m:t>
                      </m:r>
                    </m:num>
                    <m:den>
                      <m:r>
                        <a:rPr lang="es-PE" sz="2000" i="1">
                          <a:latin typeface="Cambria Math" panose="02040503050406030204" pitchFamily="18" charset="0"/>
                        </a:rPr>
                        <m:t>𝑄</m:t>
                      </m:r>
                    </m:den>
                  </m:f>
                  <m:r>
                    <a:rPr lang="es-PE" sz="2000" i="0">
                      <a:latin typeface="Cambria Math" panose="02040503050406030204" pitchFamily="18" charset="0"/>
                    </a:rPr>
                    <m:t>×</m:t>
                  </m:r>
                  <m:r>
                    <a:rPr lang="es-PE" sz="2000" i="1">
                      <a:latin typeface="Cambria Math" panose="02040503050406030204" pitchFamily="18" charset="0"/>
                    </a:rPr>
                    <m:t>𝜎</m:t>
                  </m:r>
                  <m:r>
                    <a:rPr lang="es-PE" sz="2000" i="0">
                      <a:latin typeface="Cambria Math" panose="02040503050406030204" pitchFamily="18" charset="0"/>
                    </a:rPr>
                    <m:t>×</m:t>
                  </m:r>
                  <m:r>
                    <a:rPr lang="es-PE" sz="2000" i="1">
                      <a:latin typeface="Cambria Math" panose="02040503050406030204" pitchFamily="18" charset="0"/>
                    </a:rPr>
                    <m:t>𝐾</m:t>
                  </m:r>
                  <m:r>
                    <a:rPr lang="es-PE" sz="2000" i="0">
                      <a:latin typeface="Cambria Math" panose="02040503050406030204" pitchFamily="18" charset="0"/>
                    </a:rPr>
                    <m:t>×</m:t>
                  </m:r>
                  <m:r>
                    <a:rPr lang="es-PE" sz="2000" i="1">
                      <a:latin typeface="Cambria Math" panose="02040503050406030204" pitchFamily="18" charset="0"/>
                    </a:rPr>
                    <m:t>𝐸</m:t>
                  </m:r>
                  <m:d>
                    <m:dPr>
                      <m:ctrlPr>
                        <a:rPr lang="es-PE" sz="2000" i="1">
                          <a:latin typeface="Cambria Math" panose="02040503050406030204" pitchFamily="18" charset="0"/>
                        </a:rPr>
                      </m:ctrlPr>
                    </m:dPr>
                    <m:e>
                      <m:r>
                        <a:rPr lang="es-PE" sz="2000" i="1">
                          <a:latin typeface="Cambria Math" panose="02040503050406030204" pitchFamily="18" charset="0"/>
                        </a:rPr>
                        <m:t>𝑧</m:t>
                      </m:r>
                    </m:e>
                  </m:d>
                </m:oMath>
              </a14:m>
              <a:endParaRPr lang="es-PE" sz="2000"/>
            </a:p>
          </xdr:txBody>
        </xdr:sp>
      </mc:Choice>
      <mc:Fallback xmlns="">
        <xdr:sp macro="" textlink="">
          <xdr:nvSpPr>
            <xdr:cNvPr id="20" name="CuadroTexto 19">
              <a:extLst>
                <a:ext uri="{FF2B5EF4-FFF2-40B4-BE49-F238E27FC236}">
                  <a16:creationId xmlns:a16="http://schemas.microsoft.com/office/drawing/2014/main" id="{6D73AA34-47A7-4E7A-BC7E-4CA81E92E3F9}"/>
                </a:ext>
              </a:extLst>
            </xdr:cNvPr>
            <xdr:cNvSpPr txBox="1"/>
          </xdr:nvSpPr>
          <xdr:spPr>
            <a:xfrm>
              <a:off x="7077075" y="4010025"/>
              <a:ext cx="4988802" cy="468911"/>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000"/>
                <a:t>Costo</a:t>
              </a:r>
              <a:r>
                <a:rPr lang="es-PE" sz="2000" baseline="0"/>
                <a:t> x Falta de Existencias</a:t>
              </a:r>
              <a:r>
                <a:rPr lang="es-PE" sz="2000" i="0">
                  <a:latin typeface="Cambria Math" panose="02040503050406030204" pitchFamily="18" charset="0"/>
                </a:rPr>
                <a:t>=𝐷/𝑄×𝜎×𝐾×𝐸(𝑧)</a:t>
              </a:r>
              <a:endParaRPr lang="es-PE" sz="2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9524</xdr:colOff>
      <xdr:row>49</xdr:row>
      <xdr:rowOff>95250</xdr:rowOff>
    </xdr:from>
    <xdr:to>
      <xdr:col>11</xdr:col>
      <xdr:colOff>476250</xdr:colOff>
      <xdr:row>59</xdr:row>
      <xdr:rowOff>114300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18670" t="25784" r="16901" b="47910"/>
        <a:stretch/>
      </xdr:blipFill>
      <xdr:spPr>
        <a:xfrm>
          <a:off x="771524" y="10706100"/>
          <a:ext cx="8382001" cy="1924050"/>
        </a:xfrm>
        <a:prstGeom prst="rect">
          <a:avLst/>
        </a:prstGeom>
      </xdr:spPr>
    </xdr:pic>
    <xdr:clientData/>
  </xdr:twoCellAnchor>
  <xdr:oneCellAnchor>
    <xdr:from>
      <xdr:col>0</xdr:col>
      <xdr:colOff>552450</xdr:colOff>
      <xdr:row>45</xdr:row>
      <xdr:rowOff>23812</xdr:rowOff>
    </xdr:from>
    <xdr:ext cx="7982763" cy="75027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552450" y="10397403"/>
              <a:ext cx="7982763" cy="75027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3200"/>
                <a:t>Costo</a:t>
              </a:r>
              <a:r>
                <a:rPr lang="es-PE" sz="3200" baseline="0"/>
                <a:t> x Falta de Existencias</a:t>
              </a:r>
              <a14:m>
                <m:oMath xmlns:m="http://schemas.openxmlformats.org/officeDocument/2006/math">
                  <m:r>
                    <a:rPr lang="es-PE" sz="3200" i="0">
                      <a:latin typeface="Cambria Math" panose="02040503050406030204" pitchFamily="18" charset="0"/>
                    </a:rPr>
                    <m:t>=</m:t>
                  </m:r>
                  <m:f>
                    <m:fPr>
                      <m:ctrlPr>
                        <a:rPr lang="es-PE" sz="3200" i="1">
                          <a:latin typeface="Cambria Math" panose="02040503050406030204" pitchFamily="18" charset="0"/>
                        </a:rPr>
                      </m:ctrlPr>
                    </m:fPr>
                    <m:num>
                      <m:r>
                        <a:rPr lang="es-PE" sz="3200" i="1">
                          <a:latin typeface="Cambria Math" panose="02040503050406030204" pitchFamily="18" charset="0"/>
                        </a:rPr>
                        <m:t>𝐷</m:t>
                      </m:r>
                    </m:num>
                    <m:den>
                      <m:r>
                        <a:rPr lang="es-PE" sz="3200" i="1">
                          <a:latin typeface="Cambria Math" panose="02040503050406030204" pitchFamily="18" charset="0"/>
                        </a:rPr>
                        <m:t>𝑄</m:t>
                      </m:r>
                    </m:den>
                  </m:f>
                  <m:r>
                    <a:rPr lang="es-PE" sz="3200" i="0">
                      <a:latin typeface="Cambria Math" panose="02040503050406030204" pitchFamily="18" charset="0"/>
                    </a:rPr>
                    <m:t>×</m:t>
                  </m:r>
                  <m:r>
                    <a:rPr lang="es-PE" sz="3200" i="1">
                      <a:latin typeface="Cambria Math" panose="02040503050406030204" pitchFamily="18" charset="0"/>
                    </a:rPr>
                    <m:t>𝜎</m:t>
                  </m:r>
                  <m:r>
                    <a:rPr lang="es-PE" sz="3200" i="0">
                      <a:latin typeface="Cambria Math" panose="02040503050406030204" pitchFamily="18" charset="0"/>
                    </a:rPr>
                    <m:t>×</m:t>
                  </m:r>
                  <m:r>
                    <a:rPr lang="es-PE" sz="3200" i="1">
                      <a:latin typeface="Cambria Math" panose="02040503050406030204" pitchFamily="18" charset="0"/>
                    </a:rPr>
                    <m:t>𝐾</m:t>
                  </m:r>
                  <m:r>
                    <a:rPr lang="es-PE" sz="3200" i="0">
                      <a:latin typeface="Cambria Math" panose="02040503050406030204" pitchFamily="18" charset="0"/>
                    </a:rPr>
                    <m:t>×</m:t>
                  </m:r>
                  <m:r>
                    <a:rPr lang="es-PE" sz="3200" i="1">
                      <a:latin typeface="Cambria Math" panose="02040503050406030204" pitchFamily="18" charset="0"/>
                    </a:rPr>
                    <m:t>𝐸</m:t>
                  </m:r>
                  <m:d>
                    <m:dPr>
                      <m:ctrlPr>
                        <a:rPr lang="es-PE" sz="3200" i="1">
                          <a:latin typeface="Cambria Math" panose="02040503050406030204" pitchFamily="18" charset="0"/>
                        </a:rPr>
                      </m:ctrlPr>
                    </m:dPr>
                    <m:e>
                      <m:r>
                        <a:rPr lang="es-PE" sz="3200" i="1">
                          <a:latin typeface="Cambria Math" panose="02040503050406030204" pitchFamily="18" charset="0"/>
                        </a:rPr>
                        <m:t>𝑧</m:t>
                      </m:r>
                    </m:e>
                  </m:d>
                </m:oMath>
              </a14:m>
              <a:endParaRPr lang="es-PE" sz="3200"/>
            </a:p>
          </xdr:txBody>
        </xdr:sp>
      </mc:Choice>
      <mc:Fallback xmlns="">
        <xdr:sp macro="" textlink="">
          <xdr:nvSpPr>
            <xdr:cNvPr id="4" name="CuadroTexto 3">
              <a:extLst>
                <a:ext uri="{FF2B5EF4-FFF2-40B4-BE49-F238E27FC236}">
                  <a16:creationId xmlns:a16="http://schemas.microsoft.com/office/drawing/2014/main" id="{A5825B70-5626-412D-AABB-17005471CB71}"/>
                </a:ext>
              </a:extLst>
            </xdr:cNvPr>
            <xdr:cNvSpPr txBox="1"/>
          </xdr:nvSpPr>
          <xdr:spPr>
            <a:xfrm>
              <a:off x="552450" y="10397403"/>
              <a:ext cx="7982763" cy="75027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3200"/>
                <a:t>Costo</a:t>
              </a:r>
              <a:r>
                <a:rPr lang="es-PE" sz="3200" baseline="0"/>
                <a:t> x Falta de Existencias</a:t>
              </a:r>
              <a:r>
                <a:rPr lang="es-PE" sz="3200" i="0">
                  <a:latin typeface="Cambria Math" panose="02040503050406030204" pitchFamily="18" charset="0"/>
                </a:rPr>
                <a:t>=𝐷/𝑄×𝜎×𝐾×𝐸(𝑧)</a:t>
              </a:r>
              <a:endParaRPr lang="es-PE" sz="3200"/>
            </a:p>
          </xdr:txBody>
        </xdr:sp>
      </mc:Fallback>
    </mc:AlternateContent>
    <xdr:clientData/>
  </xdr:oneCellAnchor>
  <xdr:oneCellAnchor>
    <xdr:from>
      <xdr:col>0</xdr:col>
      <xdr:colOff>733425</xdr:colOff>
      <xdr:row>43</xdr:row>
      <xdr:rowOff>33337</xdr:rowOff>
    </xdr:from>
    <xdr:ext cx="10704084" cy="375680"/>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33425" y="9424987"/>
              <a:ext cx="10704084"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𝐶𝑇𝑃</m:t>
                    </m:r>
                    <m:r>
                      <a:rPr lang="es-PE" sz="2400" i="0">
                        <a:latin typeface="Cambria Math" panose="02040503050406030204" pitchFamily="18" charset="0"/>
                      </a:rPr>
                      <m:t>=</m:t>
                    </m:r>
                    <m:r>
                      <m:rPr>
                        <m:sty m:val="p"/>
                      </m:rPr>
                      <a:rPr lang="es-PE" sz="2400" b="0" i="0">
                        <a:latin typeface="Cambria Math" panose="02040503050406030204" pitchFamily="18" charset="0"/>
                      </a:rPr>
                      <m:t>Costos</m:t>
                    </m:r>
                    <m:r>
                      <a:rPr lang="es-PE" sz="2400" b="0" i="0">
                        <a:latin typeface="Cambria Math" panose="02040503050406030204" pitchFamily="18" charset="0"/>
                      </a:rPr>
                      <m:t> </m:t>
                    </m:r>
                    <m:r>
                      <m:rPr>
                        <m:sty m:val="p"/>
                      </m:rPr>
                      <a:rPr lang="es-PE" sz="2400" b="0" i="0">
                        <a:latin typeface="Cambria Math" panose="02040503050406030204" pitchFamily="18" charset="0"/>
                      </a:rPr>
                      <m:t>de</m:t>
                    </m:r>
                    <m:r>
                      <a:rPr lang="es-PE" sz="2400" b="0" i="0">
                        <a:latin typeface="Cambria Math" panose="02040503050406030204" pitchFamily="18" charset="0"/>
                      </a:rPr>
                      <m:t> </m:t>
                    </m:r>
                    <m:r>
                      <m:rPr>
                        <m:sty m:val="p"/>
                      </m:rPr>
                      <a:rPr lang="es-PE" sz="2400" b="0" i="0">
                        <a:latin typeface="Cambria Math" panose="02040503050406030204" pitchFamily="18" charset="0"/>
                      </a:rPr>
                      <m:t>Pedidos</m:t>
                    </m:r>
                    <m:r>
                      <a:rPr lang="es-PE" sz="2400" b="0" i="0">
                        <a:latin typeface="Cambria Math" panose="02040503050406030204" pitchFamily="18" charset="0"/>
                      </a:rPr>
                      <m:t> +  </m:t>
                    </m:r>
                    <m:r>
                      <m:rPr>
                        <m:sty m:val="p"/>
                      </m:rPr>
                      <a:rPr lang="es-PE" sz="2400" b="0" i="0">
                        <a:latin typeface="Cambria Math" panose="02040503050406030204" pitchFamily="18" charset="0"/>
                      </a:rPr>
                      <m:t>Costos</m:t>
                    </m:r>
                    <m:r>
                      <a:rPr lang="es-PE" sz="2400" b="0" i="0">
                        <a:latin typeface="Cambria Math" panose="02040503050406030204" pitchFamily="18" charset="0"/>
                      </a:rPr>
                      <m:t> </m:t>
                    </m:r>
                    <m:r>
                      <m:rPr>
                        <m:sty m:val="p"/>
                      </m:rPr>
                      <a:rPr lang="es-PE" sz="2400" b="0" i="0">
                        <a:latin typeface="Cambria Math" panose="02040503050406030204" pitchFamily="18" charset="0"/>
                      </a:rPr>
                      <m:t>Almacenamiento</m:t>
                    </m:r>
                    <m:r>
                      <a:rPr lang="es-PE" sz="2400" b="0" i="0">
                        <a:latin typeface="Cambria Math" panose="02040503050406030204" pitchFamily="18" charset="0"/>
                      </a:rPr>
                      <m:t> +  </m:t>
                    </m:r>
                    <m:r>
                      <m:rPr>
                        <m:sty m:val="p"/>
                      </m:rPr>
                      <a:rPr lang="es-PE" sz="2400" b="0" i="0">
                        <a:latin typeface="Cambria Math" panose="02040503050406030204" pitchFamily="18" charset="0"/>
                      </a:rPr>
                      <m:t>Costo</m:t>
                    </m:r>
                    <m:r>
                      <a:rPr lang="es-PE" sz="2400" b="0" i="0">
                        <a:latin typeface="Cambria Math" panose="02040503050406030204" pitchFamily="18" charset="0"/>
                      </a:rPr>
                      <m:t> </m:t>
                    </m:r>
                    <m:r>
                      <m:rPr>
                        <m:sty m:val="p"/>
                      </m:rPr>
                      <a:rPr lang="es-PE" sz="2400" b="0" i="0">
                        <a:latin typeface="Cambria Math" panose="02040503050406030204" pitchFamily="18" charset="0"/>
                      </a:rPr>
                      <m:t>Falta</m:t>
                    </m:r>
                    <m:r>
                      <a:rPr lang="es-PE" sz="2400" b="0" i="0">
                        <a:latin typeface="Cambria Math" panose="02040503050406030204" pitchFamily="18" charset="0"/>
                      </a:rPr>
                      <m:t> </m:t>
                    </m:r>
                    <m:r>
                      <m:rPr>
                        <m:sty m:val="p"/>
                      </m:rPr>
                      <a:rPr lang="es-PE" sz="2400" b="0" i="0">
                        <a:latin typeface="Cambria Math" panose="02040503050406030204" pitchFamily="18" charset="0"/>
                      </a:rPr>
                      <m:t>Existencias</m:t>
                    </m:r>
                  </m:oMath>
                </m:oMathPara>
              </a14:m>
              <a:endParaRPr lang="es-PE" sz="2400"/>
            </a:p>
          </xdr:txBody>
        </xdr:sp>
      </mc:Choice>
      <mc:Fallback xmlns="">
        <xdr:sp macro="" textlink="">
          <xdr:nvSpPr>
            <xdr:cNvPr id="5" name="CuadroTexto 4">
              <a:extLst>
                <a:ext uri="{FF2B5EF4-FFF2-40B4-BE49-F238E27FC236}">
                  <a16:creationId xmlns:a16="http://schemas.microsoft.com/office/drawing/2014/main" id="{CD5A4B65-BB77-4A0A-9372-F538CF3B7B81}"/>
                </a:ext>
              </a:extLst>
            </xdr:cNvPr>
            <xdr:cNvSpPr txBox="1"/>
          </xdr:nvSpPr>
          <xdr:spPr>
            <a:xfrm>
              <a:off x="733425" y="9424987"/>
              <a:ext cx="10704084" cy="37568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PE" sz="2400" i="0">
                  <a:latin typeface="Cambria Math" panose="02040503050406030204" pitchFamily="18" charset="0"/>
                </a:rPr>
                <a:t>𝐶𝑇𝑃=</a:t>
              </a:r>
              <a:r>
                <a:rPr lang="es-PE" sz="2400" b="0" i="0">
                  <a:latin typeface="Cambria Math" panose="02040503050406030204" pitchFamily="18" charset="0"/>
                </a:rPr>
                <a:t>Costos de Pedidos +  Costos Almacenamiento +  Costo Falta Existencias</a:t>
              </a:r>
              <a:endParaRPr lang="es-PE" sz="2400"/>
            </a:p>
          </xdr:txBody>
        </xdr:sp>
      </mc:Fallback>
    </mc:AlternateContent>
    <xdr:clientData/>
  </xdr:oneCellAnchor>
  <xdr:twoCellAnchor>
    <xdr:from>
      <xdr:col>7</xdr:col>
      <xdr:colOff>21638</xdr:colOff>
      <xdr:row>28</xdr:row>
      <xdr:rowOff>229465</xdr:rowOff>
    </xdr:from>
    <xdr:to>
      <xdr:col>7</xdr:col>
      <xdr:colOff>324706</xdr:colOff>
      <xdr:row>28</xdr:row>
      <xdr:rowOff>229465</xdr:rowOff>
    </xdr:to>
    <xdr:cxnSp macro="">
      <xdr:nvCxnSpPr>
        <xdr:cNvPr id="6" name="Conector recto de flecha 5">
          <a:extLst>
            <a:ext uri="{FF2B5EF4-FFF2-40B4-BE49-F238E27FC236}">
              <a16:creationId xmlns:a16="http://schemas.microsoft.com/office/drawing/2014/main" id="{00000000-0008-0000-0100-000006000000}"/>
            </a:ext>
          </a:extLst>
        </xdr:cNvPr>
        <xdr:cNvCxnSpPr/>
      </xdr:nvCxnSpPr>
      <xdr:spPr>
        <a:xfrm>
          <a:off x="5650913" y="6077815"/>
          <a:ext cx="303068"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364548</xdr:colOff>
      <xdr:row>28</xdr:row>
      <xdr:rowOff>70139</xdr:rowOff>
    </xdr:from>
    <xdr:to>
      <xdr:col>8</xdr:col>
      <xdr:colOff>858</xdr:colOff>
      <xdr:row>29</xdr:row>
      <xdr:rowOff>153010</xdr:rowOff>
    </xdr:to>
    <xdr:grpSp>
      <xdr:nvGrpSpPr>
        <xdr:cNvPr id="7" name="30 Grupo">
          <a:extLst>
            <a:ext uri="{FF2B5EF4-FFF2-40B4-BE49-F238E27FC236}">
              <a16:creationId xmlns:a16="http://schemas.microsoft.com/office/drawing/2014/main" id="{00000000-0008-0000-0100-000007000000}"/>
            </a:ext>
          </a:extLst>
        </xdr:cNvPr>
        <xdr:cNvGrpSpPr/>
      </xdr:nvGrpSpPr>
      <xdr:grpSpPr>
        <a:xfrm>
          <a:off x="5785139" y="6391275"/>
          <a:ext cx="398310" cy="325326"/>
          <a:chOff x="5868144" y="5710631"/>
          <a:chExt cx="1152128" cy="874147"/>
        </a:xfrm>
      </xdr:grpSpPr>
      <xdr:cxnSp macro="">
        <xdr:nvCxnSpPr>
          <xdr:cNvPr id="8" name="8 Conector recto">
            <a:extLst>
              <a:ext uri="{FF2B5EF4-FFF2-40B4-BE49-F238E27FC236}">
                <a16:creationId xmlns:a16="http://schemas.microsoft.com/office/drawing/2014/main" id="{00000000-0008-0000-0100-000008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14 Conector recto">
            <a:extLst>
              <a:ext uri="{FF2B5EF4-FFF2-40B4-BE49-F238E27FC236}">
                <a16:creationId xmlns:a16="http://schemas.microsoft.com/office/drawing/2014/main" id="{00000000-0008-0000-0100-000009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17 Conector recto">
            <a:extLst>
              <a:ext uri="{FF2B5EF4-FFF2-40B4-BE49-F238E27FC236}">
                <a16:creationId xmlns:a16="http://schemas.microsoft.com/office/drawing/2014/main" id="{00000000-0008-0000-0100-00000A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1 Conector recto">
            <a:extLst>
              <a:ext uri="{FF2B5EF4-FFF2-40B4-BE49-F238E27FC236}">
                <a16:creationId xmlns:a16="http://schemas.microsoft.com/office/drawing/2014/main" id="{00000000-0008-0000-0100-00000B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23 Conector recto">
            <a:extLst>
              <a:ext uri="{FF2B5EF4-FFF2-40B4-BE49-F238E27FC236}">
                <a16:creationId xmlns:a16="http://schemas.microsoft.com/office/drawing/2014/main" id="{00000000-0008-0000-0100-00000C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26 Conector recto">
            <a:extLst>
              <a:ext uri="{FF2B5EF4-FFF2-40B4-BE49-F238E27FC236}">
                <a16:creationId xmlns:a16="http://schemas.microsoft.com/office/drawing/2014/main" id="{00000000-0008-0000-0100-00000D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29 Conector recto">
            <a:extLst>
              <a:ext uri="{FF2B5EF4-FFF2-40B4-BE49-F238E27FC236}">
                <a16:creationId xmlns:a16="http://schemas.microsoft.com/office/drawing/2014/main" id="{00000000-0008-0000-0100-00000E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414761</xdr:colOff>
      <xdr:row>28</xdr:row>
      <xdr:rowOff>212147</xdr:rowOff>
    </xdr:from>
    <xdr:to>
      <xdr:col>5</xdr:col>
      <xdr:colOff>723024</xdr:colOff>
      <xdr:row>28</xdr:row>
      <xdr:rowOff>217342</xdr:rowOff>
    </xdr:to>
    <xdr:cxnSp macro="">
      <xdr:nvCxnSpPr>
        <xdr:cNvPr id="15" name="Conector recto de flecha 14">
          <a:extLst>
            <a:ext uri="{FF2B5EF4-FFF2-40B4-BE49-F238E27FC236}">
              <a16:creationId xmlns:a16="http://schemas.microsoft.com/office/drawing/2014/main" id="{00000000-0008-0000-0100-00000F000000}"/>
            </a:ext>
          </a:extLst>
        </xdr:cNvPr>
        <xdr:cNvCxnSpPr/>
      </xdr:nvCxnSpPr>
      <xdr:spPr>
        <a:xfrm>
          <a:off x="4310486" y="6060497"/>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733425</xdr:colOff>
      <xdr:row>28</xdr:row>
      <xdr:rowOff>85725</xdr:rowOff>
    </xdr:from>
    <xdr:to>
      <xdr:col>5</xdr:col>
      <xdr:colOff>369735</xdr:colOff>
      <xdr:row>29</xdr:row>
      <xdr:rowOff>168596</xdr:rowOff>
    </xdr:to>
    <xdr:grpSp>
      <xdr:nvGrpSpPr>
        <xdr:cNvPr id="16" name="30 Grupo">
          <a:extLst>
            <a:ext uri="{FF2B5EF4-FFF2-40B4-BE49-F238E27FC236}">
              <a16:creationId xmlns:a16="http://schemas.microsoft.com/office/drawing/2014/main" id="{00000000-0008-0000-0100-000010000000}"/>
            </a:ext>
          </a:extLst>
        </xdr:cNvPr>
        <xdr:cNvGrpSpPr/>
      </xdr:nvGrpSpPr>
      <xdr:grpSpPr>
        <a:xfrm>
          <a:off x="3660198" y="6406861"/>
          <a:ext cx="398310" cy="325326"/>
          <a:chOff x="5868144" y="5710631"/>
          <a:chExt cx="1152128" cy="874147"/>
        </a:xfrm>
      </xdr:grpSpPr>
      <xdr:cxnSp macro="">
        <xdr:nvCxnSpPr>
          <xdr:cNvPr id="17" name="8 Conector recto">
            <a:extLst>
              <a:ext uri="{FF2B5EF4-FFF2-40B4-BE49-F238E27FC236}">
                <a16:creationId xmlns:a16="http://schemas.microsoft.com/office/drawing/2014/main" id="{00000000-0008-0000-0100-000011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14 Conector recto">
            <a:extLst>
              <a:ext uri="{FF2B5EF4-FFF2-40B4-BE49-F238E27FC236}">
                <a16:creationId xmlns:a16="http://schemas.microsoft.com/office/drawing/2014/main" id="{00000000-0008-0000-0100-000012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17 Conector recto">
            <a:extLst>
              <a:ext uri="{FF2B5EF4-FFF2-40B4-BE49-F238E27FC236}">
                <a16:creationId xmlns:a16="http://schemas.microsoft.com/office/drawing/2014/main" id="{00000000-0008-0000-0100-000013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21 Conector recto">
            <a:extLst>
              <a:ext uri="{FF2B5EF4-FFF2-40B4-BE49-F238E27FC236}">
                <a16:creationId xmlns:a16="http://schemas.microsoft.com/office/drawing/2014/main" id="{00000000-0008-0000-0100-000014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23 Conector recto">
            <a:extLst>
              <a:ext uri="{FF2B5EF4-FFF2-40B4-BE49-F238E27FC236}">
                <a16:creationId xmlns:a16="http://schemas.microsoft.com/office/drawing/2014/main" id="{00000000-0008-0000-0100-000015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26 Conector recto">
            <a:extLst>
              <a:ext uri="{FF2B5EF4-FFF2-40B4-BE49-F238E27FC236}">
                <a16:creationId xmlns:a16="http://schemas.microsoft.com/office/drawing/2014/main" id="{00000000-0008-0000-0100-000016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29 Conector recto">
            <a:extLst>
              <a:ext uri="{FF2B5EF4-FFF2-40B4-BE49-F238E27FC236}">
                <a16:creationId xmlns:a16="http://schemas.microsoft.com/office/drawing/2014/main" id="{00000000-0008-0000-0100-000017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414761</xdr:colOff>
      <xdr:row>24</xdr:row>
      <xdr:rowOff>12122</xdr:rowOff>
    </xdr:from>
    <xdr:to>
      <xdr:col>5</xdr:col>
      <xdr:colOff>723024</xdr:colOff>
      <xdr:row>24</xdr:row>
      <xdr:rowOff>17317</xdr:rowOff>
    </xdr:to>
    <xdr:cxnSp macro="">
      <xdr:nvCxnSpPr>
        <xdr:cNvPr id="2" name="Conector recto de flecha 1">
          <a:extLst>
            <a:ext uri="{FF2B5EF4-FFF2-40B4-BE49-F238E27FC236}">
              <a16:creationId xmlns:a16="http://schemas.microsoft.com/office/drawing/2014/main" id="{00000000-0008-0000-0200-000002000000}"/>
            </a:ext>
          </a:extLst>
        </xdr:cNvPr>
        <xdr:cNvCxnSpPr/>
      </xdr:nvCxnSpPr>
      <xdr:spPr>
        <a:xfrm>
          <a:off x="4224761" y="4650797"/>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733425</xdr:colOff>
      <xdr:row>23</xdr:row>
      <xdr:rowOff>76200</xdr:rowOff>
    </xdr:from>
    <xdr:to>
      <xdr:col>5</xdr:col>
      <xdr:colOff>369735</xdr:colOff>
      <xdr:row>25</xdr:row>
      <xdr:rowOff>11001</xdr:rowOff>
    </xdr:to>
    <xdr:grpSp>
      <xdr:nvGrpSpPr>
        <xdr:cNvPr id="3" name="30 Grupo">
          <a:extLst>
            <a:ext uri="{FF2B5EF4-FFF2-40B4-BE49-F238E27FC236}">
              <a16:creationId xmlns:a16="http://schemas.microsoft.com/office/drawing/2014/main" id="{00000000-0008-0000-0200-000003000000}"/>
            </a:ext>
          </a:extLst>
        </xdr:cNvPr>
        <xdr:cNvGrpSpPr/>
      </xdr:nvGrpSpPr>
      <xdr:grpSpPr>
        <a:xfrm>
          <a:off x="3781425" y="4521200"/>
          <a:ext cx="398310" cy="323739"/>
          <a:chOff x="5868144" y="5710631"/>
          <a:chExt cx="1152128" cy="874147"/>
        </a:xfrm>
      </xdr:grpSpPr>
      <xdr:cxnSp macro="">
        <xdr:nvCxnSpPr>
          <xdr:cNvPr id="4" name="8 Conector recto">
            <a:extLst>
              <a:ext uri="{FF2B5EF4-FFF2-40B4-BE49-F238E27FC236}">
                <a16:creationId xmlns:a16="http://schemas.microsoft.com/office/drawing/2014/main" id="{00000000-0008-0000-02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2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2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2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2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2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2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33761</xdr:colOff>
      <xdr:row>23</xdr:row>
      <xdr:rowOff>183572</xdr:rowOff>
    </xdr:from>
    <xdr:to>
      <xdr:col>7</xdr:col>
      <xdr:colOff>342024</xdr:colOff>
      <xdr:row>23</xdr:row>
      <xdr:rowOff>188767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a:off x="5567786" y="4631747"/>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345831</xdr:colOff>
      <xdr:row>23</xdr:row>
      <xdr:rowOff>52021</xdr:rowOff>
    </xdr:from>
    <xdr:to>
      <xdr:col>7</xdr:col>
      <xdr:colOff>744141</xdr:colOff>
      <xdr:row>24</xdr:row>
      <xdr:rowOff>184649</xdr:rowOff>
    </xdr:to>
    <xdr:grpSp>
      <xdr:nvGrpSpPr>
        <xdr:cNvPr id="12" name="30 Grupo">
          <a:extLst>
            <a:ext uri="{FF2B5EF4-FFF2-40B4-BE49-F238E27FC236}">
              <a16:creationId xmlns:a16="http://schemas.microsoft.com/office/drawing/2014/main" id="{00000000-0008-0000-0200-00000C000000}"/>
            </a:ext>
          </a:extLst>
        </xdr:cNvPr>
        <xdr:cNvGrpSpPr/>
      </xdr:nvGrpSpPr>
      <xdr:grpSpPr>
        <a:xfrm>
          <a:off x="5878269" y="4497021"/>
          <a:ext cx="398310" cy="323128"/>
          <a:chOff x="5868144" y="5710631"/>
          <a:chExt cx="1152128" cy="874147"/>
        </a:xfrm>
      </xdr:grpSpPr>
      <xdr:cxnSp macro="">
        <xdr:nvCxnSpPr>
          <xdr:cNvPr id="13" name="8 Conector recto">
            <a:extLst>
              <a:ext uri="{FF2B5EF4-FFF2-40B4-BE49-F238E27FC236}">
                <a16:creationId xmlns:a16="http://schemas.microsoft.com/office/drawing/2014/main" id="{00000000-0008-0000-02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02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02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02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02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02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02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296612</xdr:colOff>
      <xdr:row>34</xdr:row>
      <xdr:rowOff>21981</xdr:rowOff>
    </xdr:from>
    <xdr:to>
      <xdr:col>9</xdr:col>
      <xdr:colOff>249115</xdr:colOff>
      <xdr:row>35</xdr:row>
      <xdr:rowOff>155872</xdr:rowOff>
    </xdr:to>
    <mc:AlternateContent xmlns:mc="http://schemas.openxmlformats.org/markup-compatibility/2006" xmlns:a14="http://schemas.microsoft.com/office/drawing/2010/main">
      <mc:Choice Requires="a14">
        <xdr:sp macro="" textlink="">
          <xdr:nvSpPr>
            <xdr:cNvPr id="20" name="CuadroTexto 5">
              <a:extLst>
                <a:ext uri="{FF2B5EF4-FFF2-40B4-BE49-F238E27FC236}">
                  <a16:creationId xmlns:a16="http://schemas.microsoft.com/office/drawing/2014/main" id="{00000000-0008-0000-0200-000014000000}"/>
                </a:ext>
              </a:extLst>
            </xdr:cNvPr>
            <xdr:cNvSpPr txBox="1"/>
          </xdr:nvSpPr>
          <xdr:spPr>
            <a:xfrm>
              <a:off x="4106612" y="6584706"/>
              <a:ext cx="3200528" cy="37201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𝑀</m:t>
                    </m:r>
                    <m:r>
                      <a:rPr lang="es-PE" sz="2400" i="1">
                        <a:latin typeface="Cambria Math" panose="02040503050406030204" pitchFamily="18" charset="0"/>
                      </a:rPr>
                      <m:t>=</m:t>
                    </m:r>
                    <m:r>
                      <a:rPr lang="es-PE" sz="2400" i="1">
                        <a:latin typeface="Cambria Math" panose="02040503050406030204" pitchFamily="18" charset="0"/>
                      </a:rPr>
                      <m:t>𝑑</m:t>
                    </m:r>
                    <m:r>
                      <a:rPr lang="es-PE" sz="2400" i="1">
                        <a:latin typeface="Cambria Math" panose="02040503050406030204" pitchFamily="18" charset="0"/>
                      </a:rPr>
                      <m:t>×</m:t>
                    </m:r>
                    <m:d>
                      <m:dPr>
                        <m:ctrlPr>
                          <a:rPr lang="es-PE" sz="2400" i="1">
                            <a:latin typeface="Cambria Math" panose="02040503050406030204" pitchFamily="18" charset="0"/>
                          </a:rPr>
                        </m:ctrlPr>
                      </m:dPr>
                      <m:e>
                        <m:r>
                          <a:rPr lang="es-PE" sz="2400" i="1">
                            <a:latin typeface="Cambria Math" panose="02040503050406030204" pitchFamily="18" charset="0"/>
                          </a:rPr>
                          <m:t>𝑇𝐸</m:t>
                        </m:r>
                        <m:r>
                          <a:rPr lang="es-PE" sz="2400" i="1">
                            <a:latin typeface="Cambria Math" panose="02040503050406030204" pitchFamily="18" charset="0"/>
                          </a:rPr>
                          <m:t>+</m:t>
                        </m:r>
                        <m:r>
                          <a:rPr lang="es-PE" sz="2400" i="1">
                            <a:latin typeface="Cambria Math" panose="02040503050406030204" pitchFamily="18" charset="0"/>
                          </a:rPr>
                          <m:t>𝑇</m:t>
                        </m:r>
                      </m:e>
                    </m:d>
                    <m:r>
                      <a:rPr lang="es-PE" sz="2400" i="1">
                        <a:latin typeface="Cambria Math" panose="02040503050406030204" pitchFamily="18" charset="0"/>
                      </a:rPr>
                      <m:t>+</m:t>
                    </m:r>
                    <m:r>
                      <a:rPr lang="es-PE" sz="2400" i="1">
                        <a:latin typeface="Cambria Math" panose="02040503050406030204" pitchFamily="18" charset="0"/>
                      </a:rPr>
                      <m:t>𝑆𝑆</m:t>
                    </m:r>
                  </m:oMath>
                </m:oMathPara>
              </a14:m>
              <a:endParaRPr lang="es-PE" sz="2400"/>
            </a:p>
          </xdr:txBody>
        </xdr:sp>
      </mc:Choice>
      <mc:Fallback xmlns="">
        <xdr:sp macro="" textlink="">
          <xdr:nvSpPr>
            <xdr:cNvPr id="20" name="CuadroTexto 5">
              <a:extLst>
                <a:ext uri="{FF2B5EF4-FFF2-40B4-BE49-F238E27FC236}">
                  <a16:creationId xmlns:a16="http://schemas.microsoft.com/office/drawing/2014/main" id="{860477FE-A34F-48E2-ACD8-0C0D642C2794}"/>
                </a:ext>
              </a:extLst>
            </xdr:cNvPr>
            <xdr:cNvSpPr txBox="1"/>
          </xdr:nvSpPr>
          <xdr:spPr>
            <a:xfrm>
              <a:off x="4106612" y="6584706"/>
              <a:ext cx="3200528" cy="37201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𝑀=𝑑×(𝑇𝐸+𝑇)+𝑆𝑆</a:t>
              </a:r>
              <a:endParaRPr lang="es-PE" sz="2400"/>
            </a:p>
          </xdr:txBody>
        </xdr:sp>
      </mc:Fallback>
    </mc:AlternateContent>
    <xdr:clientData/>
  </xdr:twoCellAnchor>
  <xdr:twoCellAnchor>
    <xdr:from>
      <xdr:col>5</xdr:col>
      <xdr:colOff>256442</xdr:colOff>
      <xdr:row>30</xdr:row>
      <xdr:rowOff>42219</xdr:rowOff>
    </xdr:from>
    <xdr:to>
      <xdr:col>7</xdr:col>
      <xdr:colOff>740019</xdr:colOff>
      <xdr:row>33</xdr:row>
      <xdr:rowOff>37588</xdr:rowOff>
    </xdr:to>
    <mc:AlternateContent xmlns:mc="http://schemas.openxmlformats.org/markup-compatibility/2006" xmlns:a14="http://schemas.microsoft.com/office/drawing/2010/main">
      <mc:Choice Requires="a14">
        <xdr:sp macro="" textlink="">
          <xdr:nvSpPr>
            <xdr:cNvPr id="21" name="CuadroTexto 6">
              <a:extLst>
                <a:ext uri="{FF2B5EF4-FFF2-40B4-BE49-F238E27FC236}">
                  <a16:creationId xmlns:a16="http://schemas.microsoft.com/office/drawing/2014/main" id="{00000000-0008-0000-0200-000015000000}"/>
                </a:ext>
              </a:extLst>
            </xdr:cNvPr>
            <xdr:cNvSpPr txBox="1"/>
          </xdr:nvSpPr>
          <xdr:spPr>
            <a:xfrm>
              <a:off x="4066442" y="5833419"/>
              <a:ext cx="2207602" cy="57639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000" i="1">
                        <a:latin typeface="Cambria Math" panose="02040503050406030204" pitchFamily="18" charset="0"/>
                      </a:rPr>
                      <m:t>𝐼𝑃</m:t>
                    </m:r>
                    <m:r>
                      <a:rPr lang="es-PE" sz="2000" i="0">
                        <a:latin typeface="Cambria Math" panose="02040503050406030204" pitchFamily="18" charset="0"/>
                      </a:rPr>
                      <m:t>=</m:t>
                    </m:r>
                    <m:f>
                      <m:fPr>
                        <m:ctrlPr>
                          <a:rPr lang="es-PE" sz="2000" i="1">
                            <a:latin typeface="Cambria Math" panose="02040503050406030204" pitchFamily="18" charset="0"/>
                          </a:rPr>
                        </m:ctrlPr>
                      </m:fPr>
                      <m:num>
                        <m:r>
                          <a:rPr lang="es-PE" sz="2000" i="1">
                            <a:latin typeface="Cambria Math" panose="02040503050406030204" pitchFamily="18" charset="0"/>
                          </a:rPr>
                          <m:t>𝐷</m:t>
                        </m:r>
                        <m:r>
                          <a:rPr lang="es-PE" sz="2000" i="0">
                            <a:latin typeface="Cambria Math" panose="02040503050406030204" pitchFamily="18" charset="0"/>
                          </a:rPr>
                          <m:t>×</m:t>
                        </m:r>
                        <m:r>
                          <a:rPr lang="es-PE" sz="2000" i="1">
                            <a:latin typeface="Cambria Math" panose="02040503050406030204" pitchFamily="18" charset="0"/>
                          </a:rPr>
                          <m:t>𝑇</m:t>
                        </m:r>
                      </m:num>
                      <m:den>
                        <m:r>
                          <a:rPr lang="es-PE" sz="2000" i="0">
                            <a:latin typeface="Cambria Math" panose="02040503050406030204" pitchFamily="18" charset="0"/>
                          </a:rPr>
                          <m:t>2</m:t>
                        </m:r>
                      </m:den>
                    </m:f>
                    <m:r>
                      <a:rPr lang="es-PE" sz="2000" i="0">
                        <a:latin typeface="Cambria Math" panose="02040503050406030204" pitchFamily="18" charset="0"/>
                      </a:rPr>
                      <m:t>+</m:t>
                    </m:r>
                    <m:r>
                      <a:rPr lang="es-PE" sz="2000" i="1">
                        <a:latin typeface="Cambria Math" panose="02040503050406030204" pitchFamily="18" charset="0"/>
                      </a:rPr>
                      <m:t>𝑆𝑆</m:t>
                    </m:r>
                  </m:oMath>
                </m:oMathPara>
              </a14:m>
              <a:endParaRPr lang="es-PE" sz="2000"/>
            </a:p>
          </xdr:txBody>
        </xdr:sp>
      </mc:Choice>
      <mc:Fallback xmlns="">
        <xdr:sp macro="" textlink="">
          <xdr:nvSpPr>
            <xdr:cNvPr id="21" name="CuadroTexto 6">
              <a:extLst>
                <a:ext uri="{FF2B5EF4-FFF2-40B4-BE49-F238E27FC236}">
                  <a16:creationId xmlns:a16="http://schemas.microsoft.com/office/drawing/2014/main" id="{3F8D2B38-9EFC-4417-B5B6-84026ADA3475}"/>
                </a:ext>
              </a:extLst>
            </xdr:cNvPr>
            <xdr:cNvSpPr txBox="1"/>
          </xdr:nvSpPr>
          <xdr:spPr>
            <a:xfrm>
              <a:off x="4066442" y="5833419"/>
              <a:ext cx="2207602" cy="576394"/>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000" i="0">
                  <a:latin typeface="Cambria Math" panose="02040503050406030204" pitchFamily="18" charset="0"/>
                </a:rPr>
                <a:t>𝐼𝑃=(𝐷×𝑇)/2+𝑆𝑆</a:t>
              </a:r>
              <a:endParaRPr lang="es-PE" sz="2000"/>
            </a:p>
          </xdr:txBody>
        </xdr:sp>
      </mc:Fallback>
    </mc:AlternateContent>
    <xdr:clientData/>
  </xdr:twoCellAnchor>
  <xdr:twoCellAnchor>
    <xdr:from>
      <xdr:col>8</xdr:col>
      <xdr:colOff>357187</xdr:colOff>
      <xdr:row>37</xdr:row>
      <xdr:rowOff>134938</xdr:rowOff>
    </xdr:from>
    <xdr:to>
      <xdr:col>10</xdr:col>
      <xdr:colOff>307693</xdr:colOff>
      <xdr:row>43</xdr:row>
      <xdr:rowOff>11696</xdr:rowOff>
    </xdr:to>
    <mc:AlternateContent xmlns:mc="http://schemas.openxmlformats.org/markup-compatibility/2006" xmlns:a14="http://schemas.microsoft.com/office/drawing/2010/main">
      <mc:Choice Requires="a14">
        <xdr:sp macro="" textlink="">
          <xdr:nvSpPr>
            <xdr:cNvPr id="22" name="CuadroTexto 46">
              <a:extLst>
                <a:ext uri="{FF2B5EF4-FFF2-40B4-BE49-F238E27FC236}">
                  <a16:creationId xmlns:a16="http://schemas.microsoft.com/office/drawing/2014/main" id="{00000000-0008-0000-0200-000016000000}"/>
                </a:ext>
              </a:extLst>
            </xdr:cNvPr>
            <xdr:cNvSpPr txBox="1"/>
          </xdr:nvSpPr>
          <xdr:spPr>
            <a:xfrm>
              <a:off x="6651625" y="7358063"/>
              <a:ext cx="1474506" cy="1091196"/>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𝑄</m:t>
                    </m:r>
                    <m:r>
                      <a:rPr lang="es-PE" sz="2400" i="0">
                        <a:latin typeface="Cambria Math" panose="02040503050406030204" pitchFamily="18" charset="0"/>
                      </a:rPr>
                      <m:t>=</m:t>
                    </m:r>
                    <m:rad>
                      <m:radPr>
                        <m:degHide m:val="on"/>
                        <m:ctrlPr>
                          <a:rPr lang="es-PE" sz="2400" i="1">
                            <a:latin typeface="Cambria Math" panose="02040503050406030204" pitchFamily="18" charset="0"/>
                          </a:rPr>
                        </m:ctrlPr>
                      </m:radPr>
                      <m:deg/>
                      <m:e>
                        <m:f>
                          <m:fPr>
                            <m:ctrlPr>
                              <a:rPr lang="es-PE" sz="2400" i="1">
                                <a:latin typeface="Cambria Math" panose="02040503050406030204" pitchFamily="18" charset="0"/>
                              </a:rPr>
                            </m:ctrlPr>
                          </m:fPr>
                          <m:num>
                            <m:r>
                              <a:rPr lang="es-PE" sz="2400" i="0">
                                <a:latin typeface="Cambria Math" panose="02040503050406030204" pitchFamily="18" charset="0"/>
                              </a:rPr>
                              <m:t>2</m:t>
                            </m:r>
                            <m:r>
                              <a:rPr lang="es-PE" sz="2400" i="1">
                                <a:latin typeface="Cambria Math" panose="02040503050406030204" pitchFamily="18" charset="0"/>
                              </a:rPr>
                              <m:t>𝐷𝑆</m:t>
                            </m:r>
                          </m:num>
                          <m:den>
                            <m:r>
                              <a:rPr lang="es-PE" sz="2400" i="1">
                                <a:latin typeface="Cambria Math" panose="02040503050406030204" pitchFamily="18" charset="0"/>
                              </a:rPr>
                              <m:t>𝐼𝐶</m:t>
                            </m:r>
                          </m:den>
                        </m:f>
                      </m:e>
                    </m:rad>
                  </m:oMath>
                </m:oMathPara>
              </a14:m>
              <a:endParaRPr lang="es-PE" sz="3600"/>
            </a:p>
          </xdr:txBody>
        </xdr:sp>
      </mc:Choice>
      <mc:Fallback xmlns="">
        <xdr:sp macro="" textlink="">
          <xdr:nvSpPr>
            <xdr:cNvPr id="22" name="CuadroTexto 46">
              <a:extLst>
                <a:ext uri="{FF2B5EF4-FFF2-40B4-BE49-F238E27FC236}">
                  <a16:creationId xmlns:a16="http://schemas.microsoft.com/office/drawing/2014/main" id="{00000000-0008-0000-0200-000016000000}"/>
                </a:ext>
              </a:extLst>
            </xdr:cNvPr>
            <xdr:cNvSpPr txBox="1"/>
          </xdr:nvSpPr>
          <xdr:spPr>
            <a:xfrm>
              <a:off x="6651625" y="7358063"/>
              <a:ext cx="1474506" cy="1091196"/>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𝑄=√(2𝐷𝑆/𝐼𝐶)</a:t>
              </a:r>
              <a:endParaRPr lang="es-PE" sz="3600"/>
            </a:p>
          </xdr:txBody>
        </xdr:sp>
      </mc:Fallback>
    </mc:AlternateContent>
    <xdr:clientData/>
  </xdr:twoCellAnchor>
  <xdr:twoCellAnchor>
    <xdr:from>
      <xdr:col>10</xdr:col>
      <xdr:colOff>596841</xdr:colOff>
      <xdr:row>36</xdr:row>
      <xdr:rowOff>94657</xdr:rowOff>
    </xdr:from>
    <xdr:to>
      <xdr:col>12</xdr:col>
      <xdr:colOff>115562</xdr:colOff>
      <xdr:row>40</xdr:row>
      <xdr:rowOff>131350</xdr:rowOff>
    </xdr:to>
    <mc:AlternateContent xmlns:mc="http://schemas.openxmlformats.org/markup-compatibility/2006" xmlns:a14="http://schemas.microsoft.com/office/drawing/2010/main">
      <mc:Choice Requires="a14">
        <xdr:sp macro="" textlink="">
          <xdr:nvSpPr>
            <xdr:cNvPr id="23" name="CuadroTexto 2">
              <a:extLst>
                <a:ext uri="{FF2B5EF4-FFF2-40B4-BE49-F238E27FC236}">
                  <a16:creationId xmlns:a16="http://schemas.microsoft.com/office/drawing/2014/main" id="{00000000-0008-0000-0200-000017000000}"/>
                </a:ext>
              </a:extLst>
            </xdr:cNvPr>
            <xdr:cNvSpPr txBox="1"/>
          </xdr:nvSpPr>
          <xdr:spPr>
            <a:xfrm>
              <a:off x="8415279" y="7079657"/>
              <a:ext cx="1042721" cy="806631"/>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800" b="1" i="1">
                        <a:latin typeface="Cambria Math" panose="02040503050406030204" pitchFamily="18" charset="0"/>
                      </a:rPr>
                      <m:t>𝑻</m:t>
                    </m:r>
                    <m:r>
                      <a:rPr lang="es-PE" sz="2800" b="1" i="0">
                        <a:latin typeface="Cambria Math" panose="02040503050406030204" pitchFamily="18" charset="0"/>
                      </a:rPr>
                      <m:t>=</m:t>
                    </m:r>
                    <m:f>
                      <m:fPr>
                        <m:ctrlPr>
                          <a:rPr lang="es-PE" sz="2800" b="1" i="1">
                            <a:latin typeface="Cambria Math" panose="02040503050406030204" pitchFamily="18" charset="0"/>
                          </a:rPr>
                        </m:ctrlPr>
                      </m:fPr>
                      <m:num>
                        <m:r>
                          <a:rPr lang="es-PE" sz="2800" b="1" i="1">
                            <a:latin typeface="Cambria Math" panose="02040503050406030204" pitchFamily="18" charset="0"/>
                          </a:rPr>
                          <m:t>𝑸</m:t>
                        </m:r>
                      </m:num>
                      <m:den>
                        <m:r>
                          <a:rPr lang="es-PE" sz="2800" b="1" i="1">
                            <a:latin typeface="Cambria Math" panose="02040503050406030204" pitchFamily="18" charset="0"/>
                          </a:rPr>
                          <m:t>𝑫</m:t>
                        </m:r>
                      </m:den>
                    </m:f>
                  </m:oMath>
                </m:oMathPara>
              </a14:m>
              <a:endParaRPr lang="es-PE" sz="2800" b="1"/>
            </a:p>
          </xdr:txBody>
        </xdr:sp>
      </mc:Choice>
      <mc:Fallback xmlns="">
        <xdr:sp macro="" textlink="">
          <xdr:nvSpPr>
            <xdr:cNvPr id="23" name="CuadroTexto 2">
              <a:extLst>
                <a:ext uri="{FF2B5EF4-FFF2-40B4-BE49-F238E27FC236}">
                  <a16:creationId xmlns:a16="http://schemas.microsoft.com/office/drawing/2014/main" id="{68F333AB-5149-4FA1-B468-F1A6D3B97D39}"/>
                </a:ext>
              </a:extLst>
            </xdr:cNvPr>
            <xdr:cNvSpPr txBox="1"/>
          </xdr:nvSpPr>
          <xdr:spPr>
            <a:xfrm>
              <a:off x="8415279" y="7079657"/>
              <a:ext cx="1042721" cy="806631"/>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800" b="1" i="0">
                  <a:latin typeface="Cambria Math" panose="02040503050406030204" pitchFamily="18" charset="0"/>
                </a:rPr>
                <a:t>𝑻=𝑸/𝑫</a:t>
              </a:r>
              <a:endParaRPr lang="es-PE" sz="2800" b="1"/>
            </a:p>
          </xdr:txBody>
        </xdr:sp>
      </mc:Fallback>
    </mc:AlternateContent>
    <xdr:clientData/>
  </xdr:twoCellAnchor>
  <xdr:twoCellAnchor>
    <xdr:from>
      <xdr:col>11</xdr:col>
      <xdr:colOff>184015</xdr:colOff>
      <xdr:row>25</xdr:row>
      <xdr:rowOff>26762</xdr:rowOff>
    </xdr:from>
    <xdr:to>
      <xdr:col>12</xdr:col>
      <xdr:colOff>730250</xdr:colOff>
      <xdr:row>28</xdr:row>
      <xdr:rowOff>182769</xdr:rowOff>
    </xdr:to>
    <mc:AlternateContent xmlns:mc="http://schemas.openxmlformats.org/markup-compatibility/2006" xmlns:a14="http://schemas.microsoft.com/office/drawing/2010/main">
      <mc:Choice Requires="a14">
        <xdr:sp macro="" textlink="">
          <xdr:nvSpPr>
            <xdr:cNvPr id="25" name="CuadroTexto 7">
              <a:extLst>
                <a:ext uri="{FF2B5EF4-FFF2-40B4-BE49-F238E27FC236}">
                  <a16:creationId xmlns:a16="http://schemas.microsoft.com/office/drawing/2014/main" id="{00000000-0008-0000-0200-000019000000}"/>
                </a:ext>
              </a:extLst>
            </xdr:cNvPr>
            <xdr:cNvSpPr txBox="1"/>
          </xdr:nvSpPr>
          <xdr:spPr>
            <a:xfrm>
              <a:off x="8764453" y="4860700"/>
              <a:ext cx="1308235" cy="727507"/>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𝟏</m:t>
                            </m:r>
                          </m:sub>
                        </m:sSub>
                      </m:num>
                      <m:den>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𝟐</m:t>
                            </m:r>
                          </m:sub>
                        </m:sSub>
                      </m:den>
                    </m:f>
                    <m:r>
                      <a:rPr lang="es-PE" sz="1600" b="1" i="0">
                        <a:latin typeface="Cambria Math" panose="02040503050406030204" pitchFamily="18" charset="0"/>
                      </a:rPr>
                      <m:t>=</m:t>
                    </m:r>
                    <m:rad>
                      <m:radPr>
                        <m:degHide m:val="on"/>
                        <m:ctrlPr>
                          <a:rPr lang="es-PE" sz="1600" b="1" i="1">
                            <a:latin typeface="Cambria Math" panose="02040503050406030204" pitchFamily="18" charset="0"/>
                          </a:rPr>
                        </m:ctrlPr>
                      </m:radPr>
                      <m:deg/>
                      <m:e>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𝑻</m:t>
                                </m:r>
                              </m:e>
                              <m:sub>
                                <m:r>
                                  <a:rPr lang="es-PE" sz="1600" b="1" i="0">
                                    <a:latin typeface="Cambria Math" panose="02040503050406030204" pitchFamily="18" charset="0"/>
                                  </a:rPr>
                                  <m:t>𝟏</m:t>
                                </m:r>
                              </m:sub>
                            </m:sSub>
                          </m:num>
                          <m:den>
                            <m:r>
                              <a:rPr lang="es-PE" sz="1600" b="1" i="1">
                                <a:latin typeface="Cambria Math" panose="02040503050406030204" pitchFamily="18" charset="0"/>
                              </a:rPr>
                              <m:t>𝑻𝑬</m:t>
                            </m:r>
                            <m:r>
                              <a:rPr lang="es-PE" sz="1600" b="1" i="1">
                                <a:latin typeface="Cambria Math" panose="02040503050406030204" pitchFamily="18" charset="0"/>
                              </a:rPr>
                              <m:t>+</m:t>
                            </m:r>
                            <m:r>
                              <a:rPr lang="es-PE" sz="1600" b="1" i="1">
                                <a:latin typeface="Cambria Math" panose="02040503050406030204" pitchFamily="18" charset="0"/>
                              </a:rPr>
                              <m:t>𝑻</m:t>
                            </m:r>
                          </m:den>
                        </m:f>
                      </m:e>
                    </m:rad>
                  </m:oMath>
                </m:oMathPara>
              </a14:m>
              <a:endParaRPr lang="es-PE" sz="1600" b="1"/>
            </a:p>
          </xdr:txBody>
        </xdr:sp>
      </mc:Choice>
      <mc:Fallback xmlns="">
        <xdr:sp macro="" textlink="">
          <xdr:nvSpPr>
            <xdr:cNvPr id="25" name="CuadroTexto 7">
              <a:extLst>
                <a:ext uri="{FF2B5EF4-FFF2-40B4-BE49-F238E27FC236}">
                  <a16:creationId xmlns:a16="http://schemas.microsoft.com/office/drawing/2014/main" id="{00000000-0008-0000-0200-000019000000}"/>
                </a:ext>
              </a:extLst>
            </xdr:cNvPr>
            <xdr:cNvSpPr txBox="1"/>
          </xdr:nvSpPr>
          <xdr:spPr>
            <a:xfrm>
              <a:off x="8764453" y="4860700"/>
              <a:ext cx="1308235" cy="727507"/>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b="1" i="0">
                  <a:latin typeface="Cambria Math" panose="02040503050406030204" pitchFamily="18" charset="0"/>
                </a:rPr>
                <a:t>𝝈_𝟏/𝝈_𝟐 =√(𝑻_𝟏/(𝑻𝑬+𝑻))</a:t>
              </a:r>
              <a:endParaRPr lang="es-PE" sz="1600" b="1"/>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47625</xdr:colOff>
      <xdr:row>24</xdr:row>
      <xdr:rowOff>9525</xdr:rowOff>
    </xdr:from>
    <xdr:to>
      <xdr:col>5</xdr:col>
      <xdr:colOff>0</xdr:colOff>
      <xdr:row>24</xdr:row>
      <xdr:rowOff>9528</xdr:rowOff>
    </xdr:to>
    <xdr:cxnSp macro="">
      <xdr:nvCxnSpPr>
        <xdr:cNvPr id="2" name="Conector recto de flecha 1">
          <a:extLst>
            <a:ext uri="{FF2B5EF4-FFF2-40B4-BE49-F238E27FC236}">
              <a16:creationId xmlns:a16="http://schemas.microsoft.com/office/drawing/2014/main" id="{AECDFF01-FE92-43E3-AC5F-D69D12D11CBC}"/>
            </a:ext>
          </a:extLst>
        </xdr:cNvPr>
        <xdr:cNvCxnSpPr/>
      </xdr:nvCxnSpPr>
      <xdr:spPr>
        <a:xfrm flipV="1">
          <a:off x="3095625" y="4667250"/>
          <a:ext cx="714375" cy="3"/>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24</xdr:row>
      <xdr:rowOff>9525</xdr:rowOff>
    </xdr:from>
    <xdr:to>
      <xdr:col>8</xdr:col>
      <xdr:colOff>9525</xdr:colOff>
      <xdr:row>24</xdr:row>
      <xdr:rowOff>9525</xdr:rowOff>
    </xdr:to>
    <xdr:cxnSp macro="">
      <xdr:nvCxnSpPr>
        <xdr:cNvPr id="3" name="Conector recto de flecha 2">
          <a:extLst>
            <a:ext uri="{FF2B5EF4-FFF2-40B4-BE49-F238E27FC236}">
              <a16:creationId xmlns:a16="http://schemas.microsoft.com/office/drawing/2014/main" id="{E645B33A-84DA-4BA3-8844-0C2CD0E25BF3}"/>
            </a:ext>
          </a:extLst>
        </xdr:cNvPr>
        <xdr:cNvCxnSpPr/>
      </xdr:nvCxnSpPr>
      <xdr:spPr>
        <a:xfrm>
          <a:off x="5457825" y="4667250"/>
          <a:ext cx="733425"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167994</xdr:colOff>
      <xdr:row>23</xdr:row>
      <xdr:rowOff>43296</xdr:rowOff>
    </xdr:from>
    <xdr:to>
      <xdr:col>8</xdr:col>
      <xdr:colOff>540326</xdr:colOff>
      <xdr:row>24</xdr:row>
      <xdr:rowOff>173792</xdr:rowOff>
    </xdr:to>
    <xdr:grpSp>
      <xdr:nvGrpSpPr>
        <xdr:cNvPr id="4" name="30 Grupo">
          <a:extLst>
            <a:ext uri="{FF2B5EF4-FFF2-40B4-BE49-F238E27FC236}">
              <a16:creationId xmlns:a16="http://schemas.microsoft.com/office/drawing/2014/main" id="{EA7A5B49-C048-4B31-931F-81AFCDF52FDA}"/>
            </a:ext>
          </a:extLst>
        </xdr:cNvPr>
        <xdr:cNvGrpSpPr/>
      </xdr:nvGrpSpPr>
      <xdr:grpSpPr>
        <a:xfrm>
          <a:off x="6349719" y="4510521"/>
          <a:ext cx="372332" cy="320996"/>
          <a:chOff x="5868144" y="5710631"/>
          <a:chExt cx="1152128" cy="874147"/>
        </a:xfrm>
      </xdr:grpSpPr>
      <xdr:cxnSp macro="">
        <xdr:nvCxnSpPr>
          <xdr:cNvPr id="5" name="8 Conector recto">
            <a:extLst>
              <a:ext uri="{FF2B5EF4-FFF2-40B4-BE49-F238E27FC236}">
                <a16:creationId xmlns:a16="http://schemas.microsoft.com/office/drawing/2014/main" id="{ECC7AB44-89FE-40A1-A940-988C84645D22}"/>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4 Conector recto">
            <a:extLst>
              <a:ext uri="{FF2B5EF4-FFF2-40B4-BE49-F238E27FC236}">
                <a16:creationId xmlns:a16="http://schemas.microsoft.com/office/drawing/2014/main" id="{0D988960-B97A-4A24-B09C-984C5802AF44}"/>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17 Conector recto">
            <a:extLst>
              <a:ext uri="{FF2B5EF4-FFF2-40B4-BE49-F238E27FC236}">
                <a16:creationId xmlns:a16="http://schemas.microsoft.com/office/drawing/2014/main" id="{B2ED5D22-97BC-4C8D-B785-9B64AFD55B7C}"/>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1 Conector recto">
            <a:extLst>
              <a:ext uri="{FF2B5EF4-FFF2-40B4-BE49-F238E27FC236}">
                <a16:creationId xmlns:a16="http://schemas.microsoft.com/office/drawing/2014/main" id="{4A806C59-59FC-45C6-800B-D79FD2C35B89}"/>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3 Conector recto">
            <a:extLst>
              <a:ext uri="{FF2B5EF4-FFF2-40B4-BE49-F238E27FC236}">
                <a16:creationId xmlns:a16="http://schemas.microsoft.com/office/drawing/2014/main" id="{10445E28-7612-470C-8C60-793CC508DE8A}"/>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6 Conector recto">
            <a:extLst>
              <a:ext uri="{FF2B5EF4-FFF2-40B4-BE49-F238E27FC236}">
                <a16:creationId xmlns:a16="http://schemas.microsoft.com/office/drawing/2014/main" id="{ADB1E5C3-0F80-4F80-821C-DE2BF9E5A011}"/>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29 Conector recto">
            <a:extLst>
              <a:ext uri="{FF2B5EF4-FFF2-40B4-BE49-F238E27FC236}">
                <a16:creationId xmlns:a16="http://schemas.microsoft.com/office/drawing/2014/main" id="{85C23163-5948-4A4F-B249-EF7434C6B4E9}"/>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187044</xdr:colOff>
      <xdr:row>23</xdr:row>
      <xdr:rowOff>33771</xdr:rowOff>
    </xdr:from>
    <xdr:to>
      <xdr:col>5</xdr:col>
      <xdr:colOff>559376</xdr:colOff>
      <xdr:row>24</xdr:row>
      <xdr:rowOff>164267</xdr:rowOff>
    </xdr:to>
    <xdr:grpSp>
      <xdr:nvGrpSpPr>
        <xdr:cNvPr id="12" name="30 Grupo">
          <a:extLst>
            <a:ext uri="{FF2B5EF4-FFF2-40B4-BE49-F238E27FC236}">
              <a16:creationId xmlns:a16="http://schemas.microsoft.com/office/drawing/2014/main" id="{8C89330E-8545-4C50-B985-57EDBDD19911}"/>
            </a:ext>
          </a:extLst>
        </xdr:cNvPr>
        <xdr:cNvGrpSpPr/>
      </xdr:nvGrpSpPr>
      <xdr:grpSpPr>
        <a:xfrm>
          <a:off x="3997044" y="4500996"/>
          <a:ext cx="372332" cy="320996"/>
          <a:chOff x="5868144" y="5710631"/>
          <a:chExt cx="1152128" cy="874147"/>
        </a:xfrm>
      </xdr:grpSpPr>
      <xdr:cxnSp macro="">
        <xdr:nvCxnSpPr>
          <xdr:cNvPr id="13" name="8 Conector recto">
            <a:extLst>
              <a:ext uri="{FF2B5EF4-FFF2-40B4-BE49-F238E27FC236}">
                <a16:creationId xmlns:a16="http://schemas.microsoft.com/office/drawing/2014/main" id="{29FD28AE-2918-4081-BBF4-389F2E283356}"/>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D4016D8-E4BF-4AAB-9705-AFF32A0AEC23}"/>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1EFBDCB3-DE08-46F2-9DB6-4A7D0D28F8A9}"/>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48599FD3-1B93-42DE-AE3C-B7E2531EDE94}"/>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6FB17310-57C3-4EFB-9FDE-8EF4B305A065}"/>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6A4AA1C8-5B44-42E3-9182-4265B43CF055}"/>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CA0A6131-6AE6-49F0-8FC8-5FEB422AFC3E}"/>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328178</xdr:colOff>
      <xdr:row>42</xdr:row>
      <xdr:rowOff>57150</xdr:rowOff>
    </xdr:from>
    <xdr:to>
      <xdr:col>8</xdr:col>
      <xdr:colOff>544655</xdr:colOff>
      <xdr:row>46</xdr:row>
      <xdr:rowOff>3607</xdr:rowOff>
    </xdr:to>
    <mc:AlternateContent xmlns:mc="http://schemas.openxmlformats.org/markup-compatibility/2006" xmlns:a14="http://schemas.microsoft.com/office/drawing/2010/main">
      <mc:Choice Requires="a14">
        <xdr:sp macro="" textlink="">
          <xdr:nvSpPr>
            <xdr:cNvPr id="20" name="CuadroTexto 14">
              <a:extLst>
                <a:ext uri="{FF2B5EF4-FFF2-40B4-BE49-F238E27FC236}">
                  <a16:creationId xmlns:a16="http://schemas.microsoft.com/office/drawing/2014/main" id="{32F25203-A80C-445E-88C5-7FAB209F84B7}"/>
                </a:ext>
              </a:extLst>
            </xdr:cNvPr>
            <xdr:cNvSpPr txBox="1"/>
          </xdr:nvSpPr>
          <xdr:spPr>
            <a:xfrm>
              <a:off x="5747903" y="8172450"/>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600" i="1">
                        <a:latin typeface="Cambria Math" panose="02040503050406030204" pitchFamily="18" charset="0"/>
                      </a:rPr>
                      <m:t>𝑄</m:t>
                    </m:r>
                    <m:r>
                      <a:rPr lang="es-PE" sz="1600" i="0">
                        <a:latin typeface="Cambria Math" panose="02040503050406030204" pitchFamily="18" charset="0"/>
                      </a:rPr>
                      <m:t>=</m:t>
                    </m:r>
                    <m:rad>
                      <m:radPr>
                        <m:degHide m:val="on"/>
                        <m:ctrlPr>
                          <a:rPr lang="es-PE" sz="1600" i="1">
                            <a:latin typeface="Cambria Math" panose="02040503050406030204" pitchFamily="18" charset="0"/>
                          </a:rPr>
                        </m:ctrlPr>
                      </m:radPr>
                      <m:deg/>
                      <m:e>
                        <m:f>
                          <m:fPr>
                            <m:ctrlPr>
                              <a:rPr lang="es-PE" sz="1600" i="1">
                                <a:latin typeface="Cambria Math" panose="02040503050406030204" pitchFamily="18" charset="0"/>
                              </a:rPr>
                            </m:ctrlPr>
                          </m:fPr>
                          <m:num>
                            <m:r>
                              <a:rPr lang="es-PE" sz="1600" i="0">
                                <a:latin typeface="Cambria Math" panose="02040503050406030204" pitchFamily="18" charset="0"/>
                              </a:rPr>
                              <m:t>2</m:t>
                            </m:r>
                            <m:r>
                              <a:rPr lang="es-PE" sz="1600" i="1">
                                <a:latin typeface="Cambria Math" panose="02040503050406030204" pitchFamily="18" charset="0"/>
                              </a:rPr>
                              <m:t>𝐷𝑆</m:t>
                            </m:r>
                          </m:num>
                          <m:den>
                            <m:r>
                              <a:rPr lang="es-PE" sz="1600" i="1">
                                <a:latin typeface="Cambria Math" panose="02040503050406030204" pitchFamily="18" charset="0"/>
                              </a:rPr>
                              <m:t>𝐼𝐶</m:t>
                            </m:r>
                          </m:den>
                        </m:f>
                      </m:e>
                    </m:rad>
                  </m:oMath>
                </m:oMathPara>
              </a14:m>
              <a:endParaRPr lang="es-PE" sz="2400"/>
            </a:p>
          </xdr:txBody>
        </xdr:sp>
      </mc:Choice>
      <mc:Fallback xmlns="">
        <xdr:sp macro="" textlink="">
          <xdr:nvSpPr>
            <xdr:cNvPr id="20" name="CuadroTexto 14">
              <a:extLst>
                <a:ext uri="{FF2B5EF4-FFF2-40B4-BE49-F238E27FC236}">
                  <a16:creationId xmlns:a16="http://schemas.microsoft.com/office/drawing/2014/main" id="{32F25203-A80C-445E-88C5-7FAB209F84B7}"/>
                </a:ext>
              </a:extLst>
            </xdr:cNvPr>
            <xdr:cNvSpPr txBox="1"/>
          </xdr:nvSpPr>
          <xdr:spPr>
            <a:xfrm>
              <a:off x="5747903" y="8172450"/>
              <a:ext cx="978477" cy="727507"/>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i="0">
                  <a:latin typeface="Cambria Math" panose="02040503050406030204" pitchFamily="18" charset="0"/>
                </a:rPr>
                <a:t>𝑄=√(2𝐷𝑆/𝐼𝐶)</a:t>
              </a:r>
              <a:endParaRPr lang="es-PE" sz="2400"/>
            </a:p>
          </xdr:txBody>
        </xdr:sp>
      </mc:Fallback>
    </mc:AlternateContent>
    <xdr:clientData/>
  </xdr:twoCellAnchor>
  <xdr:twoCellAnchor>
    <xdr:from>
      <xdr:col>9</xdr:col>
      <xdr:colOff>104775</xdr:colOff>
      <xdr:row>34</xdr:row>
      <xdr:rowOff>65809</xdr:rowOff>
    </xdr:from>
    <xdr:to>
      <xdr:col>10</xdr:col>
      <xdr:colOff>503093</xdr:colOff>
      <xdr:row>37</xdr:row>
      <xdr:rowOff>187037</xdr:rowOff>
    </xdr:to>
    <mc:AlternateContent xmlns:mc="http://schemas.openxmlformats.org/markup-compatibility/2006" xmlns:a14="http://schemas.microsoft.com/office/drawing/2010/main">
      <mc:Choice Requires="a14">
        <xdr:sp macro="" textlink="">
          <xdr:nvSpPr>
            <xdr:cNvPr id="21" name="CuadroTexto 7">
              <a:extLst>
                <a:ext uri="{FF2B5EF4-FFF2-40B4-BE49-F238E27FC236}">
                  <a16:creationId xmlns:a16="http://schemas.microsoft.com/office/drawing/2014/main" id="{2322D5E7-3E82-4FD2-BBC0-FA435489812E}"/>
                </a:ext>
              </a:extLst>
            </xdr:cNvPr>
            <xdr:cNvSpPr txBox="1"/>
          </xdr:nvSpPr>
          <xdr:spPr>
            <a:xfrm>
              <a:off x="7048500" y="664758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𝟏</m:t>
                            </m:r>
                          </m:sub>
                        </m:sSub>
                      </m:num>
                      <m:den>
                        <m:sSub>
                          <m:sSubPr>
                            <m:ctrlPr>
                              <a:rPr lang="es-PE" sz="1400" b="1" i="1">
                                <a:latin typeface="Cambria Math" panose="02040503050406030204" pitchFamily="18" charset="0"/>
                              </a:rPr>
                            </m:ctrlPr>
                          </m:sSubPr>
                          <m:e>
                            <m:r>
                              <a:rPr lang="es-PE" sz="1400" b="1" i="1">
                                <a:latin typeface="Cambria Math" panose="02040503050406030204" pitchFamily="18" charset="0"/>
                              </a:rPr>
                              <m:t>𝝈</m:t>
                            </m:r>
                          </m:e>
                          <m:sub>
                            <m:r>
                              <a:rPr lang="es-PE" sz="1400" b="1" i="0">
                                <a:latin typeface="Cambria Math" panose="02040503050406030204" pitchFamily="18" charset="0"/>
                              </a:rPr>
                              <m:t>𝟐</m:t>
                            </m:r>
                          </m:sub>
                        </m:sSub>
                      </m:den>
                    </m:f>
                    <m:r>
                      <a:rPr lang="es-PE" sz="1400" b="1" i="0">
                        <a:latin typeface="Cambria Math" panose="02040503050406030204" pitchFamily="18" charset="0"/>
                      </a:rPr>
                      <m:t>=</m:t>
                    </m:r>
                    <m:rad>
                      <m:radPr>
                        <m:degHide m:val="on"/>
                        <m:ctrlPr>
                          <a:rPr lang="es-PE" sz="1400" b="1" i="1">
                            <a:latin typeface="Cambria Math" panose="02040503050406030204" pitchFamily="18" charset="0"/>
                          </a:rPr>
                        </m:ctrlPr>
                      </m:radPr>
                      <m:deg/>
                      <m:e>
                        <m:f>
                          <m:fPr>
                            <m:ctrlPr>
                              <a:rPr lang="es-PE" sz="1400" b="1" i="1">
                                <a:latin typeface="Cambria Math" panose="02040503050406030204" pitchFamily="18" charset="0"/>
                              </a:rPr>
                            </m:ctrlPr>
                          </m:fPr>
                          <m:num>
                            <m:sSub>
                              <m:sSubPr>
                                <m:ctrlPr>
                                  <a:rPr lang="es-PE" sz="1400" b="1" i="1">
                                    <a:latin typeface="Cambria Math" panose="02040503050406030204" pitchFamily="18" charset="0"/>
                                  </a:rPr>
                                </m:ctrlPr>
                              </m:sSubPr>
                              <m:e>
                                <m:r>
                                  <a:rPr lang="es-PE" sz="1400" b="1" i="1">
                                    <a:latin typeface="Cambria Math" panose="02040503050406030204" pitchFamily="18" charset="0"/>
                                  </a:rPr>
                                  <m:t>𝑻</m:t>
                                </m:r>
                              </m:e>
                              <m:sub>
                                <m:r>
                                  <a:rPr lang="es-PE" sz="1400" b="1" i="0">
                                    <a:latin typeface="Cambria Math" panose="02040503050406030204" pitchFamily="18" charset="0"/>
                                  </a:rPr>
                                  <m:t>𝟏</m:t>
                                </m:r>
                              </m:sub>
                            </m:sSub>
                          </m:num>
                          <m:den>
                            <m:r>
                              <a:rPr lang="es-PE" sz="1400" b="1" i="1">
                                <a:latin typeface="Cambria Math" panose="02040503050406030204" pitchFamily="18" charset="0"/>
                              </a:rPr>
                              <m:t>𝑻𝑬</m:t>
                            </m:r>
                          </m:den>
                        </m:f>
                      </m:e>
                    </m:rad>
                  </m:oMath>
                </m:oMathPara>
              </a14:m>
              <a:endParaRPr lang="es-PE" sz="1400" b="1"/>
            </a:p>
          </xdr:txBody>
        </xdr:sp>
      </mc:Choice>
      <mc:Fallback xmlns="">
        <xdr:sp macro="" textlink="">
          <xdr:nvSpPr>
            <xdr:cNvPr id="21" name="CuadroTexto 7">
              <a:extLst>
                <a:ext uri="{FF2B5EF4-FFF2-40B4-BE49-F238E27FC236}">
                  <a16:creationId xmlns:a16="http://schemas.microsoft.com/office/drawing/2014/main" id="{2322D5E7-3E82-4FD2-BBC0-FA435489812E}"/>
                </a:ext>
              </a:extLst>
            </xdr:cNvPr>
            <xdr:cNvSpPr txBox="1"/>
          </xdr:nvSpPr>
          <xdr:spPr>
            <a:xfrm>
              <a:off x="7048500" y="6647584"/>
              <a:ext cx="1160318" cy="692728"/>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400" b="1" i="0">
                  <a:latin typeface="Cambria Math" panose="02040503050406030204" pitchFamily="18" charset="0"/>
                </a:rPr>
                <a:t>𝝈_𝟏/𝝈_𝟐 =√(𝑻_𝟏/𝑻𝑬)</a:t>
              </a:r>
              <a:endParaRPr lang="es-PE" sz="1400" b="1"/>
            </a:p>
          </xdr:txBody>
        </xdr:sp>
      </mc:Fallback>
    </mc:AlternateContent>
    <xdr:clientData/>
  </xdr:twoCellAnchor>
  <xdr:oneCellAnchor>
    <xdr:from>
      <xdr:col>7</xdr:col>
      <xdr:colOff>457200</xdr:colOff>
      <xdr:row>38</xdr:row>
      <xdr:rowOff>133350</xdr:rowOff>
    </xdr:from>
    <xdr:ext cx="1409700" cy="313099"/>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2D2E4869-8594-4933-9D58-4A01053962C5}"/>
                </a:ext>
              </a:extLst>
            </xdr:cNvPr>
            <xdr:cNvSpPr txBox="1"/>
          </xdr:nvSpPr>
          <xdr:spPr>
            <a:xfrm>
              <a:off x="5876925" y="7477125"/>
              <a:ext cx="1409700" cy="31309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s-PE" sz="2000" i="0">
                        <a:latin typeface="Cambria Math" panose="02040503050406030204" pitchFamily="18" charset="0"/>
                      </a:rPr>
                      <m:t>S</m:t>
                    </m:r>
                    <m:r>
                      <m:rPr>
                        <m:sty m:val="p"/>
                      </m:rPr>
                      <a:rPr lang="es-MX" sz="2000" b="0" i="0">
                        <a:latin typeface="Cambria Math" panose="02040503050406030204" pitchFamily="18" charset="0"/>
                      </a:rPr>
                      <m:t>S</m:t>
                    </m:r>
                    <m:r>
                      <a:rPr lang="es-PE" sz="2000" i="0">
                        <a:latin typeface="Cambria Math" panose="02040503050406030204" pitchFamily="18" charset="0"/>
                      </a:rPr>
                      <m:t>=</m:t>
                    </m:r>
                    <m:r>
                      <a:rPr lang="es-PE" sz="2000" i="1">
                        <a:latin typeface="Cambria Math" panose="02040503050406030204" pitchFamily="18" charset="0"/>
                      </a:rPr>
                      <m:t>𝑧</m:t>
                    </m:r>
                    <m:r>
                      <a:rPr lang="es-PE" sz="2000" i="0">
                        <a:latin typeface="Cambria Math" panose="02040503050406030204" pitchFamily="18" charset="0"/>
                      </a:rPr>
                      <m:t>×</m:t>
                    </m:r>
                    <m:r>
                      <a:rPr lang="es-PE" sz="2000" i="1">
                        <a:latin typeface="Cambria Math" panose="02040503050406030204" pitchFamily="18" charset="0"/>
                      </a:rPr>
                      <m:t>𝜎</m:t>
                    </m:r>
                  </m:oMath>
                </m:oMathPara>
              </a14:m>
              <a:endParaRPr lang="es-PE" sz="1050"/>
            </a:p>
          </xdr:txBody>
        </xdr:sp>
      </mc:Choice>
      <mc:Fallback xmlns="">
        <xdr:sp macro="" textlink="">
          <xdr:nvSpPr>
            <xdr:cNvPr id="22" name="CuadroTexto 21">
              <a:extLst>
                <a:ext uri="{FF2B5EF4-FFF2-40B4-BE49-F238E27FC236}">
                  <a16:creationId xmlns:a16="http://schemas.microsoft.com/office/drawing/2014/main" id="{2D2E4869-8594-4933-9D58-4A01053962C5}"/>
                </a:ext>
              </a:extLst>
            </xdr:cNvPr>
            <xdr:cNvSpPr txBox="1"/>
          </xdr:nvSpPr>
          <xdr:spPr>
            <a:xfrm>
              <a:off x="5876925" y="7477125"/>
              <a:ext cx="1409700" cy="31309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PE" sz="2000" i="0">
                  <a:latin typeface="Cambria Math" panose="02040503050406030204" pitchFamily="18" charset="0"/>
                </a:rPr>
                <a:t>S</a:t>
              </a:r>
              <a:r>
                <a:rPr lang="es-MX" sz="2000" b="0" i="0">
                  <a:latin typeface="Cambria Math" panose="02040503050406030204" pitchFamily="18" charset="0"/>
                </a:rPr>
                <a:t>S</a:t>
              </a:r>
              <a:r>
                <a:rPr lang="es-PE" sz="2000" i="0">
                  <a:latin typeface="Cambria Math" panose="02040503050406030204" pitchFamily="18" charset="0"/>
                </a:rPr>
                <a:t>=𝑧×𝜎</a:t>
              </a:r>
              <a:endParaRPr lang="es-PE" sz="1050"/>
            </a:p>
          </xdr:txBody>
        </xdr:sp>
      </mc:Fallback>
    </mc:AlternateContent>
    <xdr:clientData/>
  </xdr:oneCellAnchor>
  <xdr:twoCellAnchor>
    <xdr:from>
      <xdr:col>7</xdr:col>
      <xdr:colOff>314325</xdr:colOff>
      <xdr:row>46</xdr:row>
      <xdr:rowOff>38100</xdr:rowOff>
    </xdr:from>
    <xdr:to>
      <xdr:col>9</xdr:col>
      <xdr:colOff>390525</xdr:colOff>
      <xdr:row>48</xdr:row>
      <xdr:rowOff>175704</xdr:rowOff>
    </xdr:to>
    <mc:AlternateContent xmlns:mc="http://schemas.openxmlformats.org/markup-compatibility/2006" xmlns:a14="http://schemas.microsoft.com/office/drawing/2010/main">
      <mc:Choice Requires="a14">
        <xdr:sp macro="" textlink="">
          <xdr:nvSpPr>
            <xdr:cNvPr id="23" name="CuadroTexto 6">
              <a:extLst>
                <a:ext uri="{FF2B5EF4-FFF2-40B4-BE49-F238E27FC236}">
                  <a16:creationId xmlns:a16="http://schemas.microsoft.com/office/drawing/2014/main" id="{EA144606-A4C9-470A-8DC6-92619387AD1C}"/>
                </a:ext>
              </a:extLst>
            </xdr:cNvPr>
            <xdr:cNvSpPr txBox="1"/>
          </xdr:nvSpPr>
          <xdr:spPr>
            <a:xfrm>
              <a:off x="5734050" y="8934450"/>
              <a:ext cx="1600200" cy="518604"/>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1800" i="1">
                        <a:latin typeface="Cambria Math" panose="02040503050406030204" pitchFamily="18" charset="0"/>
                      </a:rPr>
                      <m:t>𝐼𝑃</m:t>
                    </m:r>
                    <m:r>
                      <a:rPr lang="es-PE" sz="1800" i="0">
                        <a:latin typeface="Cambria Math" panose="02040503050406030204" pitchFamily="18" charset="0"/>
                      </a:rPr>
                      <m:t>=</m:t>
                    </m:r>
                    <m:f>
                      <m:fPr>
                        <m:ctrlPr>
                          <a:rPr lang="es-PE" sz="1800" i="1">
                            <a:latin typeface="Cambria Math" panose="02040503050406030204" pitchFamily="18" charset="0"/>
                          </a:rPr>
                        </m:ctrlPr>
                      </m:fPr>
                      <m:num>
                        <m:r>
                          <a:rPr lang="es-ES" sz="1800" b="0" i="1">
                            <a:latin typeface="Cambria Math" panose="02040503050406030204" pitchFamily="18" charset="0"/>
                          </a:rPr>
                          <m:t>𝑄</m:t>
                        </m:r>
                      </m:num>
                      <m:den>
                        <m:r>
                          <a:rPr lang="es-PE" sz="1800" i="0">
                            <a:latin typeface="Cambria Math" panose="02040503050406030204" pitchFamily="18" charset="0"/>
                          </a:rPr>
                          <m:t>2</m:t>
                        </m:r>
                      </m:den>
                    </m:f>
                    <m:r>
                      <a:rPr lang="es-PE" sz="1800" i="0">
                        <a:latin typeface="Cambria Math" panose="02040503050406030204" pitchFamily="18" charset="0"/>
                      </a:rPr>
                      <m:t>+</m:t>
                    </m:r>
                    <m:r>
                      <a:rPr lang="es-PE" sz="1800" i="1">
                        <a:latin typeface="Cambria Math" panose="02040503050406030204" pitchFamily="18" charset="0"/>
                      </a:rPr>
                      <m:t>𝑆𝑆</m:t>
                    </m:r>
                  </m:oMath>
                </m:oMathPara>
              </a14:m>
              <a:endParaRPr lang="es-PE" sz="1800"/>
            </a:p>
          </xdr:txBody>
        </xdr:sp>
      </mc:Choice>
      <mc:Fallback xmlns="">
        <xdr:sp macro="" textlink="">
          <xdr:nvSpPr>
            <xdr:cNvPr id="23" name="CuadroTexto 6">
              <a:extLst>
                <a:ext uri="{FF2B5EF4-FFF2-40B4-BE49-F238E27FC236}">
                  <a16:creationId xmlns:a16="http://schemas.microsoft.com/office/drawing/2014/main" id="{EA144606-A4C9-470A-8DC6-92619387AD1C}"/>
                </a:ext>
              </a:extLst>
            </xdr:cNvPr>
            <xdr:cNvSpPr txBox="1"/>
          </xdr:nvSpPr>
          <xdr:spPr>
            <a:xfrm>
              <a:off x="5734050" y="8934450"/>
              <a:ext cx="1600200" cy="518604"/>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800" i="0">
                  <a:latin typeface="Cambria Math" panose="02040503050406030204" pitchFamily="18" charset="0"/>
                </a:rPr>
                <a:t>𝐼𝑃=</a:t>
              </a:r>
              <a:r>
                <a:rPr lang="es-ES" sz="1800" b="0" i="0">
                  <a:latin typeface="Cambria Math" panose="02040503050406030204" pitchFamily="18" charset="0"/>
                </a:rPr>
                <a:t>𝑄</a:t>
              </a:r>
              <a:r>
                <a:rPr lang="es-PE" sz="1800" b="0" i="0">
                  <a:latin typeface="Cambria Math" panose="02040503050406030204" pitchFamily="18" charset="0"/>
                </a:rPr>
                <a:t>/</a:t>
              </a:r>
              <a:r>
                <a:rPr lang="es-PE" sz="1800" i="0">
                  <a:latin typeface="Cambria Math" panose="02040503050406030204" pitchFamily="18" charset="0"/>
                </a:rPr>
                <a:t>2+𝑆𝑆</a:t>
              </a:r>
              <a:endParaRPr lang="es-PE" sz="1800"/>
            </a:p>
          </xdr:txBody>
        </xdr:sp>
      </mc:Fallback>
    </mc:AlternateContent>
    <xdr:clientData/>
  </xdr:twoCellAnchor>
  <xdr:twoCellAnchor>
    <xdr:from>
      <xdr:col>7</xdr:col>
      <xdr:colOff>323850</xdr:colOff>
      <xdr:row>49</xdr:row>
      <xdr:rowOff>47625</xdr:rowOff>
    </xdr:from>
    <xdr:to>
      <xdr:col>10</xdr:col>
      <xdr:colOff>466725</xdr:colOff>
      <xdr:row>50</xdr:row>
      <xdr:rowOff>179749</xdr:rowOff>
    </xdr:to>
    <mc:AlternateContent xmlns:mc="http://schemas.openxmlformats.org/markup-compatibility/2006" xmlns:a14="http://schemas.microsoft.com/office/drawing/2010/main">
      <mc:Choice Requires="a14">
        <xdr:sp macro="" textlink="">
          <xdr:nvSpPr>
            <xdr:cNvPr id="24" name="CuadroTexto 1">
              <a:extLst>
                <a:ext uri="{FF2B5EF4-FFF2-40B4-BE49-F238E27FC236}">
                  <a16:creationId xmlns:a16="http://schemas.microsoft.com/office/drawing/2014/main" id="{27FDDCBC-39AD-4281-A042-64D1FA826973}"/>
                </a:ext>
              </a:extLst>
            </xdr:cNvPr>
            <xdr:cNvSpPr txBox="1"/>
          </xdr:nvSpPr>
          <xdr:spPr>
            <a:xfrm>
              <a:off x="5743575" y="9525000"/>
              <a:ext cx="2428875" cy="322624"/>
            </a:xfrm>
            <a:prstGeom prst="rect">
              <a:avLst/>
            </a:prstGeom>
            <a:solidFill>
              <a:srgbClr val="FF99FF"/>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000" i="1">
                        <a:latin typeface="Cambria Math" panose="02040503050406030204" pitchFamily="18" charset="0"/>
                      </a:rPr>
                      <m:t>𝑃𝑅𝑂</m:t>
                    </m:r>
                    <m:r>
                      <a:rPr lang="es-PE" sz="2000" i="0">
                        <a:latin typeface="Cambria Math" panose="02040503050406030204" pitchFamily="18" charset="0"/>
                      </a:rPr>
                      <m:t>=</m:t>
                    </m:r>
                    <m:r>
                      <a:rPr lang="es-PE" sz="2000" i="1">
                        <a:latin typeface="Cambria Math" panose="02040503050406030204" pitchFamily="18" charset="0"/>
                      </a:rPr>
                      <m:t>𝑑</m:t>
                    </m:r>
                    <m:r>
                      <a:rPr lang="es-PE" sz="2000" i="0">
                        <a:latin typeface="Cambria Math" panose="02040503050406030204" pitchFamily="18" charset="0"/>
                      </a:rPr>
                      <m:t>×</m:t>
                    </m:r>
                    <m:r>
                      <a:rPr lang="es-PE" sz="2000" i="1">
                        <a:latin typeface="Cambria Math" panose="02040503050406030204" pitchFamily="18" charset="0"/>
                      </a:rPr>
                      <m:t>𝑇𝐸</m:t>
                    </m:r>
                    <m:r>
                      <a:rPr lang="es-PE" sz="2000" i="0">
                        <a:latin typeface="Cambria Math" panose="02040503050406030204" pitchFamily="18" charset="0"/>
                      </a:rPr>
                      <m:t>+</m:t>
                    </m:r>
                    <m:r>
                      <a:rPr lang="es-PE" sz="2000" i="1">
                        <a:latin typeface="Cambria Math" panose="02040503050406030204" pitchFamily="18" charset="0"/>
                      </a:rPr>
                      <m:t>𝑆𝑆</m:t>
                    </m:r>
                  </m:oMath>
                </m:oMathPara>
              </a14:m>
              <a:endParaRPr lang="es-PE" sz="2000"/>
            </a:p>
          </xdr:txBody>
        </xdr:sp>
      </mc:Choice>
      <mc:Fallback xmlns="">
        <xdr:sp macro="" textlink="">
          <xdr:nvSpPr>
            <xdr:cNvPr id="24" name="CuadroTexto 1">
              <a:extLst>
                <a:ext uri="{FF2B5EF4-FFF2-40B4-BE49-F238E27FC236}">
                  <a16:creationId xmlns:a16="http://schemas.microsoft.com/office/drawing/2014/main" id="{27FDDCBC-39AD-4281-A042-64D1FA826973}"/>
                </a:ext>
              </a:extLst>
            </xdr:cNvPr>
            <xdr:cNvSpPr txBox="1"/>
          </xdr:nvSpPr>
          <xdr:spPr>
            <a:xfrm>
              <a:off x="5743575" y="9525000"/>
              <a:ext cx="2428875" cy="322624"/>
            </a:xfrm>
            <a:prstGeom prst="rect">
              <a:avLst/>
            </a:prstGeom>
            <a:solidFill>
              <a:srgbClr val="FF99FF"/>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000" i="0">
                  <a:latin typeface="Cambria Math" panose="02040503050406030204" pitchFamily="18" charset="0"/>
                </a:rPr>
                <a:t>𝑃𝑅𝑂=𝑑×𝑇𝐸+𝑆𝑆</a:t>
              </a:r>
              <a:endParaRPr lang="es-PE" sz="2000"/>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7</xdr:col>
      <xdr:colOff>67531</xdr:colOff>
      <xdr:row>29</xdr:row>
      <xdr:rowOff>83126</xdr:rowOff>
    </xdr:from>
    <xdr:to>
      <xdr:col>7</xdr:col>
      <xdr:colOff>370599</xdr:colOff>
      <xdr:row>29</xdr:row>
      <xdr:rowOff>83126</xdr:rowOff>
    </xdr:to>
    <xdr:cxnSp macro="">
      <xdr:nvCxnSpPr>
        <xdr:cNvPr id="2" name="Conector recto de flecha 1">
          <a:extLst>
            <a:ext uri="{FF2B5EF4-FFF2-40B4-BE49-F238E27FC236}">
              <a16:creationId xmlns:a16="http://schemas.microsoft.com/office/drawing/2014/main" id="{00000000-0008-0000-0400-000002000000}"/>
            </a:ext>
          </a:extLst>
        </xdr:cNvPr>
        <xdr:cNvCxnSpPr/>
      </xdr:nvCxnSpPr>
      <xdr:spPr>
        <a:xfrm>
          <a:off x="5687281" y="5464751"/>
          <a:ext cx="303068"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467591</xdr:colOff>
      <xdr:row>28</xdr:row>
      <xdr:rowOff>133350</xdr:rowOff>
    </xdr:from>
    <xdr:to>
      <xdr:col>8</xdr:col>
      <xdr:colOff>103901</xdr:colOff>
      <xdr:row>30</xdr:row>
      <xdr:rowOff>77676</xdr:rowOff>
    </xdr:to>
    <xdr:grpSp>
      <xdr:nvGrpSpPr>
        <xdr:cNvPr id="3" name="30 Grupo">
          <a:extLst>
            <a:ext uri="{FF2B5EF4-FFF2-40B4-BE49-F238E27FC236}">
              <a16:creationId xmlns:a16="http://schemas.microsoft.com/office/drawing/2014/main" id="{00000000-0008-0000-0400-000003000000}"/>
            </a:ext>
          </a:extLst>
        </xdr:cNvPr>
        <xdr:cNvGrpSpPr/>
      </xdr:nvGrpSpPr>
      <xdr:grpSpPr>
        <a:xfrm>
          <a:off x="6096000" y="5337464"/>
          <a:ext cx="398310" cy="325326"/>
          <a:chOff x="5868144" y="5710631"/>
          <a:chExt cx="1152128" cy="874147"/>
        </a:xfrm>
      </xdr:grpSpPr>
      <xdr:cxnSp macro="">
        <xdr:nvCxnSpPr>
          <xdr:cNvPr id="4" name="8 Conector recto">
            <a:extLst>
              <a:ext uri="{FF2B5EF4-FFF2-40B4-BE49-F238E27FC236}">
                <a16:creationId xmlns:a16="http://schemas.microsoft.com/office/drawing/2014/main" id="{00000000-0008-0000-04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4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4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4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4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4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4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405236</xdr:colOff>
      <xdr:row>29</xdr:row>
      <xdr:rowOff>84858</xdr:rowOff>
    </xdr:from>
    <xdr:to>
      <xdr:col>4</xdr:col>
      <xdr:colOff>713499</xdr:colOff>
      <xdr:row>29</xdr:row>
      <xdr:rowOff>90053</xdr:rowOff>
    </xdr:to>
    <xdr:cxnSp macro="">
      <xdr:nvCxnSpPr>
        <xdr:cNvPr id="11" name="Conector recto de flecha 10">
          <a:extLst>
            <a:ext uri="{FF2B5EF4-FFF2-40B4-BE49-F238E27FC236}">
              <a16:creationId xmlns:a16="http://schemas.microsoft.com/office/drawing/2014/main" id="{00000000-0008-0000-0400-00000B000000}"/>
            </a:ext>
          </a:extLst>
        </xdr:cNvPr>
        <xdr:cNvCxnSpPr/>
      </xdr:nvCxnSpPr>
      <xdr:spPr>
        <a:xfrm>
          <a:off x="3453236" y="5466483"/>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647700</xdr:colOff>
      <xdr:row>28</xdr:row>
      <xdr:rowOff>148936</xdr:rowOff>
    </xdr:from>
    <xdr:to>
      <xdr:col>4</xdr:col>
      <xdr:colOff>284010</xdr:colOff>
      <xdr:row>30</xdr:row>
      <xdr:rowOff>93262</xdr:rowOff>
    </xdr:to>
    <xdr:grpSp>
      <xdr:nvGrpSpPr>
        <xdr:cNvPr id="12" name="30 Grupo">
          <a:extLst>
            <a:ext uri="{FF2B5EF4-FFF2-40B4-BE49-F238E27FC236}">
              <a16:creationId xmlns:a16="http://schemas.microsoft.com/office/drawing/2014/main" id="{00000000-0008-0000-0400-00000C000000}"/>
            </a:ext>
          </a:extLst>
        </xdr:cNvPr>
        <xdr:cNvGrpSpPr/>
      </xdr:nvGrpSpPr>
      <xdr:grpSpPr>
        <a:xfrm>
          <a:off x="2933700" y="5353050"/>
          <a:ext cx="398310" cy="325326"/>
          <a:chOff x="5868144" y="5710631"/>
          <a:chExt cx="1152128" cy="874147"/>
        </a:xfrm>
      </xdr:grpSpPr>
      <xdr:cxnSp macro="">
        <xdr:nvCxnSpPr>
          <xdr:cNvPr id="13" name="8 Conector recto">
            <a:extLst>
              <a:ext uri="{FF2B5EF4-FFF2-40B4-BE49-F238E27FC236}">
                <a16:creationId xmlns:a16="http://schemas.microsoft.com/office/drawing/2014/main" id="{00000000-0008-0000-04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04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04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04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04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04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04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xdr:col>
      <xdr:colOff>155863</xdr:colOff>
      <xdr:row>41</xdr:row>
      <xdr:rowOff>60615</xdr:rowOff>
    </xdr:from>
    <xdr:ext cx="5342616" cy="439223"/>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AF5554E0-BBFA-4022-9D5B-CE9280917719}"/>
                </a:ext>
              </a:extLst>
            </xdr:cNvPr>
            <xdr:cNvSpPr txBox="1"/>
          </xdr:nvSpPr>
          <xdr:spPr>
            <a:xfrm>
              <a:off x="2441863" y="7784524"/>
              <a:ext cx="5342616" cy="43922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400"/>
                <a:t>Costo</a:t>
              </a:r>
              <a:r>
                <a:rPr lang="es-PE" sz="2400" baseline="0"/>
                <a:t> x Falta de Existencias</a:t>
              </a:r>
              <a14:m>
                <m:oMath xmlns:m="http://schemas.openxmlformats.org/officeDocument/2006/math">
                  <m:r>
                    <a:rPr lang="es-PE" sz="1800" i="0">
                      <a:latin typeface="Cambria Math" panose="02040503050406030204" pitchFamily="18" charset="0"/>
                    </a:rPr>
                    <m:t>=</m:t>
                  </m:r>
                  <m:f>
                    <m:fPr>
                      <m:ctrlPr>
                        <a:rPr lang="es-PE" sz="1800" i="1">
                          <a:latin typeface="Cambria Math" panose="02040503050406030204" pitchFamily="18" charset="0"/>
                        </a:rPr>
                      </m:ctrlPr>
                    </m:fPr>
                    <m:num>
                      <m:r>
                        <a:rPr lang="es-PE" sz="1800" i="1">
                          <a:latin typeface="Cambria Math" panose="02040503050406030204" pitchFamily="18" charset="0"/>
                        </a:rPr>
                        <m:t>𝐷</m:t>
                      </m:r>
                    </m:num>
                    <m:den>
                      <m:r>
                        <a:rPr lang="es-PE" sz="1800" i="1">
                          <a:latin typeface="Cambria Math" panose="02040503050406030204" pitchFamily="18" charset="0"/>
                        </a:rPr>
                        <m:t>𝑄</m:t>
                      </m:r>
                    </m:den>
                  </m:f>
                  <m:r>
                    <a:rPr lang="es-PE" sz="1800" i="0">
                      <a:latin typeface="Cambria Math" panose="02040503050406030204" pitchFamily="18" charset="0"/>
                    </a:rPr>
                    <m:t>×</m:t>
                  </m:r>
                  <m:r>
                    <a:rPr lang="es-PE" sz="1800" i="1">
                      <a:latin typeface="Cambria Math" panose="02040503050406030204" pitchFamily="18" charset="0"/>
                    </a:rPr>
                    <m:t>𝜎</m:t>
                  </m:r>
                  <m:r>
                    <a:rPr lang="es-PE" sz="1800" i="0">
                      <a:latin typeface="Cambria Math" panose="02040503050406030204" pitchFamily="18" charset="0"/>
                    </a:rPr>
                    <m:t>×</m:t>
                  </m:r>
                  <m:r>
                    <a:rPr lang="es-PE" sz="1800" i="1">
                      <a:latin typeface="Cambria Math" panose="02040503050406030204" pitchFamily="18" charset="0"/>
                    </a:rPr>
                    <m:t>𝐾</m:t>
                  </m:r>
                  <m:r>
                    <a:rPr lang="es-PE" sz="1800" i="0">
                      <a:latin typeface="Cambria Math" panose="02040503050406030204" pitchFamily="18" charset="0"/>
                    </a:rPr>
                    <m:t>×</m:t>
                  </m:r>
                  <m:r>
                    <a:rPr lang="es-PE" sz="1800" i="1">
                      <a:latin typeface="Cambria Math" panose="02040503050406030204" pitchFamily="18" charset="0"/>
                    </a:rPr>
                    <m:t>𝐸</m:t>
                  </m:r>
                  <m:d>
                    <m:dPr>
                      <m:ctrlPr>
                        <a:rPr lang="es-PE" sz="1800" i="1">
                          <a:latin typeface="Cambria Math" panose="02040503050406030204" pitchFamily="18" charset="0"/>
                        </a:rPr>
                      </m:ctrlPr>
                    </m:dPr>
                    <m:e>
                      <m:r>
                        <a:rPr lang="es-PE" sz="1800" i="1">
                          <a:latin typeface="Cambria Math" panose="02040503050406030204" pitchFamily="18" charset="0"/>
                        </a:rPr>
                        <m:t>𝑧</m:t>
                      </m:r>
                    </m:e>
                  </m:d>
                </m:oMath>
              </a14:m>
              <a:endParaRPr lang="es-PE" sz="2400"/>
            </a:p>
          </xdr:txBody>
        </xdr:sp>
      </mc:Choice>
      <mc:Fallback xmlns="">
        <xdr:sp macro="" textlink="">
          <xdr:nvSpPr>
            <xdr:cNvPr id="20" name="CuadroTexto 19">
              <a:extLst>
                <a:ext uri="{FF2B5EF4-FFF2-40B4-BE49-F238E27FC236}">
                  <a16:creationId xmlns:a16="http://schemas.microsoft.com/office/drawing/2014/main" id="{AF5554E0-BBFA-4022-9D5B-CE9280917719}"/>
                </a:ext>
              </a:extLst>
            </xdr:cNvPr>
            <xdr:cNvSpPr txBox="1"/>
          </xdr:nvSpPr>
          <xdr:spPr>
            <a:xfrm>
              <a:off x="2441863" y="7784524"/>
              <a:ext cx="5342616" cy="43922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400"/>
                <a:t>Costo</a:t>
              </a:r>
              <a:r>
                <a:rPr lang="es-PE" sz="2400" baseline="0"/>
                <a:t> x Falta de Existencias</a:t>
              </a:r>
              <a:r>
                <a:rPr lang="es-PE" sz="1800" i="0">
                  <a:latin typeface="Cambria Math" panose="02040503050406030204" pitchFamily="18" charset="0"/>
                </a:rPr>
                <a:t>=𝐷/𝑄×𝜎×𝐾×𝐸(𝑧)</a:t>
              </a:r>
              <a:endParaRPr lang="es-PE" sz="24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oneCellAnchor>
    <xdr:from>
      <xdr:col>7</xdr:col>
      <xdr:colOff>266700</xdr:colOff>
      <xdr:row>13</xdr:row>
      <xdr:rowOff>152400</xdr:rowOff>
    </xdr:from>
    <xdr:ext cx="5986960" cy="56265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52EDA14C-A0D8-4F09-B4B3-E8BA150D2539}"/>
                </a:ext>
              </a:extLst>
            </xdr:cNvPr>
            <xdr:cNvSpPr txBox="1"/>
          </xdr:nvSpPr>
          <xdr:spPr>
            <a:xfrm>
              <a:off x="5600700" y="2628900"/>
              <a:ext cx="5986960" cy="56265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400"/>
                <a:t>Costo</a:t>
              </a:r>
              <a:r>
                <a:rPr lang="es-PE" sz="2400" baseline="0"/>
                <a:t> x Falta de Existencias</a:t>
              </a:r>
              <a14:m>
                <m:oMath xmlns:m="http://schemas.openxmlformats.org/officeDocument/2006/math">
                  <m:r>
                    <a:rPr lang="es-PE" sz="2400" i="0">
                      <a:latin typeface="Cambria Math" panose="02040503050406030204" pitchFamily="18" charset="0"/>
                    </a:rPr>
                    <m:t>=</m:t>
                  </m:r>
                  <m:f>
                    <m:fPr>
                      <m:ctrlPr>
                        <a:rPr lang="es-PE" sz="2400" i="1">
                          <a:latin typeface="Cambria Math" panose="02040503050406030204" pitchFamily="18" charset="0"/>
                        </a:rPr>
                      </m:ctrlPr>
                    </m:fPr>
                    <m:num>
                      <m:r>
                        <a:rPr lang="es-PE" sz="2400" i="1">
                          <a:latin typeface="Cambria Math" panose="02040503050406030204" pitchFamily="18" charset="0"/>
                        </a:rPr>
                        <m:t>𝐷</m:t>
                      </m:r>
                    </m:num>
                    <m:den>
                      <m:r>
                        <a:rPr lang="es-PE" sz="2400" i="1">
                          <a:latin typeface="Cambria Math" panose="02040503050406030204" pitchFamily="18" charset="0"/>
                        </a:rPr>
                        <m:t>𝑄</m:t>
                      </m:r>
                    </m:den>
                  </m:f>
                  <m:r>
                    <a:rPr lang="es-PE" sz="2400" i="0">
                      <a:latin typeface="Cambria Math" panose="02040503050406030204" pitchFamily="18" charset="0"/>
                    </a:rPr>
                    <m:t>×</m:t>
                  </m:r>
                  <m:r>
                    <a:rPr lang="es-PE" sz="2400" i="1">
                      <a:latin typeface="Cambria Math" panose="02040503050406030204" pitchFamily="18" charset="0"/>
                    </a:rPr>
                    <m:t>𝜎</m:t>
                  </m:r>
                  <m:r>
                    <a:rPr lang="es-PE" sz="2400" i="0">
                      <a:latin typeface="Cambria Math" panose="02040503050406030204" pitchFamily="18" charset="0"/>
                    </a:rPr>
                    <m:t>×</m:t>
                  </m:r>
                  <m:r>
                    <a:rPr lang="es-PE" sz="2400" i="1">
                      <a:latin typeface="Cambria Math" panose="02040503050406030204" pitchFamily="18" charset="0"/>
                    </a:rPr>
                    <m:t>𝐾</m:t>
                  </m:r>
                  <m:r>
                    <a:rPr lang="es-PE" sz="2400" i="0">
                      <a:latin typeface="Cambria Math" panose="02040503050406030204" pitchFamily="18" charset="0"/>
                    </a:rPr>
                    <m:t>×</m:t>
                  </m:r>
                  <m:r>
                    <a:rPr lang="es-PE" sz="2400" i="1">
                      <a:latin typeface="Cambria Math" panose="02040503050406030204" pitchFamily="18" charset="0"/>
                    </a:rPr>
                    <m:t>𝐸</m:t>
                  </m:r>
                  <m:d>
                    <m:dPr>
                      <m:ctrlPr>
                        <a:rPr lang="es-PE" sz="2400" i="1">
                          <a:latin typeface="Cambria Math" panose="02040503050406030204" pitchFamily="18" charset="0"/>
                        </a:rPr>
                      </m:ctrlPr>
                    </m:dPr>
                    <m:e>
                      <m:r>
                        <a:rPr lang="es-PE" sz="2400" i="1">
                          <a:latin typeface="Cambria Math" panose="02040503050406030204" pitchFamily="18" charset="0"/>
                        </a:rPr>
                        <m:t>𝑧</m:t>
                      </m:r>
                    </m:e>
                  </m:d>
                </m:oMath>
              </a14:m>
              <a:endParaRPr lang="es-PE" sz="2400"/>
            </a:p>
          </xdr:txBody>
        </xdr:sp>
      </mc:Choice>
      <mc:Fallback xmlns="">
        <xdr:sp macro="" textlink="">
          <xdr:nvSpPr>
            <xdr:cNvPr id="2" name="CuadroTexto 1">
              <a:extLst>
                <a:ext uri="{FF2B5EF4-FFF2-40B4-BE49-F238E27FC236}">
                  <a16:creationId xmlns:a16="http://schemas.microsoft.com/office/drawing/2014/main" id="{52EDA14C-A0D8-4F09-B4B3-E8BA150D2539}"/>
                </a:ext>
              </a:extLst>
            </xdr:cNvPr>
            <xdr:cNvSpPr txBox="1"/>
          </xdr:nvSpPr>
          <xdr:spPr>
            <a:xfrm>
              <a:off x="5600700" y="2628900"/>
              <a:ext cx="5986960" cy="56265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400"/>
                <a:t>Costo</a:t>
              </a:r>
              <a:r>
                <a:rPr lang="es-PE" sz="2400" baseline="0"/>
                <a:t> x Falta de Existencias</a:t>
              </a:r>
              <a:r>
                <a:rPr lang="es-PE" sz="2400" i="0">
                  <a:latin typeface="Cambria Math" panose="02040503050406030204" pitchFamily="18" charset="0"/>
                </a:rPr>
                <a:t>=𝐷/𝑄×𝜎×𝐾×𝐸(𝑧)</a:t>
              </a:r>
              <a:endParaRPr lang="es-PE" sz="2400"/>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twoCellAnchor>
    <xdr:from>
      <xdr:col>4</xdr:col>
      <xdr:colOff>121227</xdr:colOff>
      <xdr:row>30</xdr:row>
      <xdr:rowOff>77932</xdr:rowOff>
    </xdr:from>
    <xdr:to>
      <xdr:col>4</xdr:col>
      <xdr:colOff>682326</xdr:colOff>
      <xdr:row>30</xdr:row>
      <xdr:rowOff>79663</xdr:rowOff>
    </xdr:to>
    <xdr:cxnSp macro="">
      <xdr:nvCxnSpPr>
        <xdr:cNvPr id="2" name="Conector recto de flecha 1">
          <a:extLst>
            <a:ext uri="{FF2B5EF4-FFF2-40B4-BE49-F238E27FC236}">
              <a16:creationId xmlns:a16="http://schemas.microsoft.com/office/drawing/2014/main" id="{00000000-0008-0000-0600-000002000000}"/>
            </a:ext>
          </a:extLst>
        </xdr:cNvPr>
        <xdr:cNvCxnSpPr/>
      </xdr:nvCxnSpPr>
      <xdr:spPr>
        <a:xfrm>
          <a:off x="3169227" y="6364432"/>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701386</xdr:colOff>
      <xdr:row>29</xdr:row>
      <xdr:rowOff>155864</xdr:rowOff>
    </xdr:from>
    <xdr:to>
      <xdr:col>8</xdr:col>
      <xdr:colOff>337696</xdr:colOff>
      <xdr:row>31</xdr:row>
      <xdr:rowOff>100190</xdr:rowOff>
    </xdr:to>
    <xdr:grpSp>
      <xdr:nvGrpSpPr>
        <xdr:cNvPr id="3" name="30 Grupo">
          <a:extLst>
            <a:ext uri="{FF2B5EF4-FFF2-40B4-BE49-F238E27FC236}">
              <a16:creationId xmlns:a16="http://schemas.microsoft.com/office/drawing/2014/main" id="{00000000-0008-0000-0600-000003000000}"/>
            </a:ext>
          </a:extLst>
        </xdr:cNvPr>
        <xdr:cNvGrpSpPr/>
      </xdr:nvGrpSpPr>
      <xdr:grpSpPr>
        <a:xfrm>
          <a:off x="5931477" y="5706341"/>
          <a:ext cx="398310" cy="325326"/>
          <a:chOff x="5868144" y="5710631"/>
          <a:chExt cx="1152128" cy="874147"/>
        </a:xfrm>
      </xdr:grpSpPr>
      <xdr:cxnSp macro="">
        <xdr:nvCxnSpPr>
          <xdr:cNvPr id="4" name="8 Conector recto">
            <a:extLst>
              <a:ext uri="{FF2B5EF4-FFF2-40B4-BE49-F238E27FC236}">
                <a16:creationId xmlns:a16="http://schemas.microsoft.com/office/drawing/2014/main" id="{00000000-0008-0000-06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6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6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6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6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6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6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34636</xdr:colOff>
      <xdr:row>30</xdr:row>
      <xdr:rowOff>103909</xdr:rowOff>
    </xdr:from>
    <xdr:to>
      <xdr:col>7</xdr:col>
      <xdr:colOff>595735</xdr:colOff>
      <xdr:row>30</xdr:row>
      <xdr:rowOff>105640</xdr:rowOff>
    </xdr:to>
    <xdr:cxnSp macro="">
      <xdr:nvCxnSpPr>
        <xdr:cNvPr id="11" name="Conector recto de flecha 10">
          <a:extLst>
            <a:ext uri="{FF2B5EF4-FFF2-40B4-BE49-F238E27FC236}">
              <a16:creationId xmlns:a16="http://schemas.microsoft.com/office/drawing/2014/main" id="{0695F556-BDA4-4935-81B5-1FA46CA67765}"/>
            </a:ext>
          </a:extLst>
        </xdr:cNvPr>
        <xdr:cNvCxnSpPr/>
      </xdr:nvCxnSpPr>
      <xdr:spPr>
        <a:xfrm>
          <a:off x="5264727" y="5844886"/>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290946</xdr:colOff>
      <xdr:row>29</xdr:row>
      <xdr:rowOff>117764</xdr:rowOff>
    </xdr:from>
    <xdr:to>
      <xdr:col>3</xdr:col>
      <xdr:colOff>689256</xdr:colOff>
      <xdr:row>31</xdr:row>
      <xdr:rowOff>62090</xdr:rowOff>
    </xdr:to>
    <xdr:grpSp>
      <xdr:nvGrpSpPr>
        <xdr:cNvPr id="12" name="30 Grupo">
          <a:extLst>
            <a:ext uri="{FF2B5EF4-FFF2-40B4-BE49-F238E27FC236}">
              <a16:creationId xmlns:a16="http://schemas.microsoft.com/office/drawing/2014/main" id="{A40E7FDB-E296-4607-89FE-ADEF1976905C}"/>
            </a:ext>
          </a:extLst>
        </xdr:cNvPr>
        <xdr:cNvGrpSpPr/>
      </xdr:nvGrpSpPr>
      <xdr:grpSpPr>
        <a:xfrm>
          <a:off x="2221923" y="5668241"/>
          <a:ext cx="398310" cy="325326"/>
          <a:chOff x="5868144" y="5710631"/>
          <a:chExt cx="1152128" cy="874147"/>
        </a:xfrm>
      </xdr:grpSpPr>
      <xdr:cxnSp macro="">
        <xdr:nvCxnSpPr>
          <xdr:cNvPr id="13" name="8 Conector recto">
            <a:extLst>
              <a:ext uri="{FF2B5EF4-FFF2-40B4-BE49-F238E27FC236}">
                <a16:creationId xmlns:a16="http://schemas.microsoft.com/office/drawing/2014/main" id="{211D450F-5ACF-4C08-8491-630A2387AFBA}"/>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CCB8BC06-7219-4981-8054-B20B7CB041ED}"/>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2D99F5B5-C03C-4F74-B0E2-01153207DDF4}"/>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386477B7-97D9-416C-BB1A-15B7EE49C221}"/>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8F066863-9E3F-4998-A2FE-420E919F06D5}"/>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2E19E852-C7FE-441E-B432-768F24302842}"/>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813DA8F5-CCFA-4747-8680-4C3100D1C60E}"/>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91786</xdr:colOff>
      <xdr:row>27</xdr:row>
      <xdr:rowOff>8658</xdr:rowOff>
    </xdr:from>
    <xdr:to>
      <xdr:col>13</xdr:col>
      <xdr:colOff>346364</xdr:colOff>
      <xdr:row>28</xdr:row>
      <xdr:rowOff>1475</xdr:rowOff>
    </xdr:to>
    <xdr:grpSp>
      <xdr:nvGrpSpPr>
        <xdr:cNvPr id="20" name="30 Grupo">
          <a:extLst>
            <a:ext uri="{FF2B5EF4-FFF2-40B4-BE49-F238E27FC236}">
              <a16:creationId xmlns:a16="http://schemas.microsoft.com/office/drawing/2014/main" id="{6192F087-6198-42AD-B298-AA3EF87396F7}"/>
            </a:ext>
          </a:extLst>
        </xdr:cNvPr>
        <xdr:cNvGrpSpPr/>
      </xdr:nvGrpSpPr>
      <xdr:grpSpPr>
        <a:xfrm>
          <a:off x="9893877" y="5169476"/>
          <a:ext cx="254578" cy="183317"/>
          <a:chOff x="5868144" y="5710631"/>
          <a:chExt cx="1152128" cy="874147"/>
        </a:xfrm>
      </xdr:grpSpPr>
      <xdr:cxnSp macro="">
        <xdr:nvCxnSpPr>
          <xdr:cNvPr id="21" name="8 Conector recto">
            <a:extLst>
              <a:ext uri="{FF2B5EF4-FFF2-40B4-BE49-F238E27FC236}">
                <a16:creationId xmlns:a16="http://schemas.microsoft.com/office/drawing/2014/main" id="{1441D519-2E37-48CD-9E67-AC536492B8AF}"/>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14 Conector recto">
            <a:extLst>
              <a:ext uri="{FF2B5EF4-FFF2-40B4-BE49-F238E27FC236}">
                <a16:creationId xmlns:a16="http://schemas.microsoft.com/office/drawing/2014/main" id="{C837D9C2-9840-4E0E-AB74-CB3F83E195D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17 Conector recto">
            <a:extLst>
              <a:ext uri="{FF2B5EF4-FFF2-40B4-BE49-F238E27FC236}">
                <a16:creationId xmlns:a16="http://schemas.microsoft.com/office/drawing/2014/main" id="{656BD571-0798-4B7E-90EA-AEBADB87D099}"/>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21 Conector recto">
            <a:extLst>
              <a:ext uri="{FF2B5EF4-FFF2-40B4-BE49-F238E27FC236}">
                <a16:creationId xmlns:a16="http://schemas.microsoft.com/office/drawing/2014/main" id="{836D37E5-7EE4-4B64-8585-438A0F66C594}"/>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5" name="23 Conector recto">
            <a:extLst>
              <a:ext uri="{FF2B5EF4-FFF2-40B4-BE49-F238E27FC236}">
                <a16:creationId xmlns:a16="http://schemas.microsoft.com/office/drawing/2014/main" id="{8AB876CC-6694-4E08-819F-956D5AD11D4E}"/>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6" name="26 Conector recto">
            <a:extLst>
              <a:ext uri="{FF2B5EF4-FFF2-40B4-BE49-F238E27FC236}">
                <a16:creationId xmlns:a16="http://schemas.microsoft.com/office/drawing/2014/main" id="{2D7F8C90-C250-41F3-A4D4-A9F66B893FDD}"/>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29 Conector recto">
            <a:extLst>
              <a:ext uri="{FF2B5EF4-FFF2-40B4-BE49-F238E27FC236}">
                <a16:creationId xmlns:a16="http://schemas.microsoft.com/office/drawing/2014/main" id="{74F1B157-C74D-4624-9012-895EDEA902F8}"/>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96981</xdr:colOff>
      <xdr:row>30</xdr:row>
      <xdr:rowOff>13854</xdr:rowOff>
    </xdr:from>
    <xdr:to>
      <xdr:col>13</xdr:col>
      <xdr:colOff>351559</xdr:colOff>
      <xdr:row>31</xdr:row>
      <xdr:rowOff>6671</xdr:rowOff>
    </xdr:to>
    <xdr:grpSp>
      <xdr:nvGrpSpPr>
        <xdr:cNvPr id="28" name="30 Grupo">
          <a:extLst>
            <a:ext uri="{FF2B5EF4-FFF2-40B4-BE49-F238E27FC236}">
              <a16:creationId xmlns:a16="http://schemas.microsoft.com/office/drawing/2014/main" id="{0C314BE7-8E1B-402B-881F-4B9407FEE603}"/>
            </a:ext>
          </a:extLst>
        </xdr:cNvPr>
        <xdr:cNvGrpSpPr/>
      </xdr:nvGrpSpPr>
      <xdr:grpSpPr>
        <a:xfrm>
          <a:off x="9899072" y="5754831"/>
          <a:ext cx="254578" cy="183317"/>
          <a:chOff x="5868144" y="5710631"/>
          <a:chExt cx="1152128" cy="874147"/>
        </a:xfrm>
      </xdr:grpSpPr>
      <xdr:cxnSp macro="">
        <xdr:nvCxnSpPr>
          <xdr:cNvPr id="29" name="8 Conector recto">
            <a:extLst>
              <a:ext uri="{FF2B5EF4-FFF2-40B4-BE49-F238E27FC236}">
                <a16:creationId xmlns:a16="http://schemas.microsoft.com/office/drawing/2014/main" id="{019A3C16-50C7-4437-A4FF-8A26EB58AB63}"/>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0" name="14 Conector recto">
            <a:extLst>
              <a:ext uri="{FF2B5EF4-FFF2-40B4-BE49-F238E27FC236}">
                <a16:creationId xmlns:a16="http://schemas.microsoft.com/office/drawing/2014/main" id="{7125DDA6-8B86-4865-B77D-CAEF169ACEFE}"/>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1" name="17 Conector recto">
            <a:extLst>
              <a:ext uri="{FF2B5EF4-FFF2-40B4-BE49-F238E27FC236}">
                <a16:creationId xmlns:a16="http://schemas.microsoft.com/office/drawing/2014/main" id="{C97085AB-B6D8-43DE-9A1A-BD30C543C185}"/>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21 Conector recto">
            <a:extLst>
              <a:ext uri="{FF2B5EF4-FFF2-40B4-BE49-F238E27FC236}">
                <a16:creationId xmlns:a16="http://schemas.microsoft.com/office/drawing/2014/main" id="{9BA9D32E-57BB-4103-8C4C-E0DBA682F425}"/>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3" name="23 Conector recto">
            <a:extLst>
              <a:ext uri="{FF2B5EF4-FFF2-40B4-BE49-F238E27FC236}">
                <a16:creationId xmlns:a16="http://schemas.microsoft.com/office/drawing/2014/main" id="{DE0701CF-A7DF-4925-846A-432E409EFB4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4" name="26 Conector recto">
            <a:extLst>
              <a:ext uri="{FF2B5EF4-FFF2-40B4-BE49-F238E27FC236}">
                <a16:creationId xmlns:a16="http://schemas.microsoft.com/office/drawing/2014/main" id="{0901DC72-3445-4539-BC4C-9F0CAEB1099D}"/>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5" name="29 Conector recto">
            <a:extLst>
              <a:ext uri="{FF2B5EF4-FFF2-40B4-BE49-F238E27FC236}">
                <a16:creationId xmlns:a16="http://schemas.microsoft.com/office/drawing/2014/main" id="{33F0FC69-3525-46A4-AE7A-73BF10925C7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119495</xdr:colOff>
      <xdr:row>33</xdr:row>
      <xdr:rowOff>19049</xdr:rowOff>
    </xdr:from>
    <xdr:to>
      <xdr:col>13</xdr:col>
      <xdr:colOff>374073</xdr:colOff>
      <xdr:row>34</xdr:row>
      <xdr:rowOff>11866</xdr:rowOff>
    </xdr:to>
    <xdr:grpSp>
      <xdr:nvGrpSpPr>
        <xdr:cNvPr id="37" name="30 Grupo">
          <a:extLst>
            <a:ext uri="{FF2B5EF4-FFF2-40B4-BE49-F238E27FC236}">
              <a16:creationId xmlns:a16="http://schemas.microsoft.com/office/drawing/2014/main" id="{AC479C62-F05D-4209-86EE-2C3F53515988}"/>
            </a:ext>
          </a:extLst>
        </xdr:cNvPr>
        <xdr:cNvGrpSpPr/>
      </xdr:nvGrpSpPr>
      <xdr:grpSpPr>
        <a:xfrm>
          <a:off x="9921586" y="6340185"/>
          <a:ext cx="254578" cy="183317"/>
          <a:chOff x="5868144" y="5710631"/>
          <a:chExt cx="1152128" cy="874147"/>
        </a:xfrm>
      </xdr:grpSpPr>
      <xdr:cxnSp macro="">
        <xdr:nvCxnSpPr>
          <xdr:cNvPr id="38" name="8 Conector recto">
            <a:extLst>
              <a:ext uri="{FF2B5EF4-FFF2-40B4-BE49-F238E27FC236}">
                <a16:creationId xmlns:a16="http://schemas.microsoft.com/office/drawing/2014/main" id="{F2132C55-6E7C-46FF-83B9-85FED82FA094}"/>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14 Conector recto">
            <a:extLst>
              <a:ext uri="{FF2B5EF4-FFF2-40B4-BE49-F238E27FC236}">
                <a16:creationId xmlns:a16="http://schemas.microsoft.com/office/drawing/2014/main" id="{7B532E75-4A5E-4E00-99C2-5D8A34998E8D}"/>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0" name="17 Conector recto">
            <a:extLst>
              <a:ext uri="{FF2B5EF4-FFF2-40B4-BE49-F238E27FC236}">
                <a16:creationId xmlns:a16="http://schemas.microsoft.com/office/drawing/2014/main" id="{135F368A-B924-4DA0-8C18-98C9C26A33C4}"/>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21 Conector recto">
            <a:extLst>
              <a:ext uri="{FF2B5EF4-FFF2-40B4-BE49-F238E27FC236}">
                <a16:creationId xmlns:a16="http://schemas.microsoft.com/office/drawing/2014/main" id="{3CB43FF0-43B2-44B9-B9D6-8AF6FA168201}"/>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2" name="23 Conector recto">
            <a:extLst>
              <a:ext uri="{FF2B5EF4-FFF2-40B4-BE49-F238E27FC236}">
                <a16:creationId xmlns:a16="http://schemas.microsoft.com/office/drawing/2014/main" id="{8A70479F-52C8-415F-AD76-D42FC0E74452}"/>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3" name="26 Conector recto">
            <a:extLst>
              <a:ext uri="{FF2B5EF4-FFF2-40B4-BE49-F238E27FC236}">
                <a16:creationId xmlns:a16="http://schemas.microsoft.com/office/drawing/2014/main" id="{25569C20-C7B8-4139-AAF3-C3EA7B1B061E}"/>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44" name="29 Conector recto">
            <a:extLst>
              <a:ext uri="{FF2B5EF4-FFF2-40B4-BE49-F238E27FC236}">
                <a16:creationId xmlns:a16="http://schemas.microsoft.com/office/drawing/2014/main" id="{6CE39C67-8B19-4C76-974C-3E085F7AE8EA}"/>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161059</xdr:colOff>
      <xdr:row>28</xdr:row>
      <xdr:rowOff>5195</xdr:rowOff>
    </xdr:from>
    <xdr:to>
      <xdr:col>9</xdr:col>
      <xdr:colOff>722158</xdr:colOff>
      <xdr:row>28</xdr:row>
      <xdr:rowOff>6926</xdr:rowOff>
    </xdr:to>
    <xdr:cxnSp macro="">
      <xdr:nvCxnSpPr>
        <xdr:cNvPr id="45" name="Conector recto de flecha 44">
          <a:extLst>
            <a:ext uri="{FF2B5EF4-FFF2-40B4-BE49-F238E27FC236}">
              <a16:creationId xmlns:a16="http://schemas.microsoft.com/office/drawing/2014/main" id="{3951CBE8-08C7-4EE2-B455-FF96829D69CE}"/>
            </a:ext>
          </a:extLst>
        </xdr:cNvPr>
        <xdr:cNvCxnSpPr/>
      </xdr:nvCxnSpPr>
      <xdr:spPr>
        <a:xfrm>
          <a:off x="6915150" y="5356513"/>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348095</xdr:colOff>
      <xdr:row>31</xdr:row>
      <xdr:rowOff>10391</xdr:rowOff>
    </xdr:from>
    <xdr:to>
      <xdr:col>10</xdr:col>
      <xdr:colOff>147194</xdr:colOff>
      <xdr:row>31</xdr:row>
      <xdr:rowOff>12122</xdr:rowOff>
    </xdr:to>
    <xdr:cxnSp macro="">
      <xdr:nvCxnSpPr>
        <xdr:cNvPr id="46" name="Conector recto de flecha 45">
          <a:extLst>
            <a:ext uri="{FF2B5EF4-FFF2-40B4-BE49-F238E27FC236}">
              <a16:creationId xmlns:a16="http://schemas.microsoft.com/office/drawing/2014/main" id="{F6442333-90EC-486A-B944-E05D404756E6}"/>
            </a:ext>
          </a:extLst>
        </xdr:cNvPr>
        <xdr:cNvCxnSpPr/>
      </xdr:nvCxnSpPr>
      <xdr:spPr>
        <a:xfrm>
          <a:off x="7102186" y="5941868"/>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162791</xdr:colOff>
      <xdr:row>34</xdr:row>
      <xdr:rowOff>6927</xdr:rowOff>
    </xdr:from>
    <xdr:to>
      <xdr:col>9</xdr:col>
      <xdr:colOff>723890</xdr:colOff>
      <xdr:row>34</xdr:row>
      <xdr:rowOff>8658</xdr:rowOff>
    </xdr:to>
    <xdr:cxnSp macro="">
      <xdr:nvCxnSpPr>
        <xdr:cNvPr id="47" name="Conector recto de flecha 46">
          <a:extLst>
            <a:ext uri="{FF2B5EF4-FFF2-40B4-BE49-F238E27FC236}">
              <a16:creationId xmlns:a16="http://schemas.microsoft.com/office/drawing/2014/main" id="{D7C60402-0233-455E-A699-16DE1C7CD45C}"/>
            </a:ext>
          </a:extLst>
        </xdr:cNvPr>
        <xdr:cNvCxnSpPr/>
      </xdr:nvCxnSpPr>
      <xdr:spPr>
        <a:xfrm>
          <a:off x="6916882" y="6518563"/>
          <a:ext cx="561099" cy="1731"/>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510885</xdr:colOff>
      <xdr:row>26</xdr:row>
      <xdr:rowOff>155864</xdr:rowOff>
    </xdr:from>
    <xdr:to>
      <xdr:col>9</xdr:col>
      <xdr:colOff>173181</xdr:colOff>
      <xdr:row>34</xdr:row>
      <xdr:rowOff>95250</xdr:rowOff>
    </xdr:to>
    <xdr:sp macro="" textlink="">
      <xdr:nvSpPr>
        <xdr:cNvPr id="48" name="Abrir llave 47">
          <a:extLst>
            <a:ext uri="{FF2B5EF4-FFF2-40B4-BE49-F238E27FC236}">
              <a16:creationId xmlns:a16="http://schemas.microsoft.com/office/drawing/2014/main" id="{5ED1D9B2-53E6-4926-B83F-33502E0545C8}"/>
            </a:ext>
          </a:extLst>
        </xdr:cNvPr>
        <xdr:cNvSpPr/>
      </xdr:nvSpPr>
      <xdr:spPr>
        <a:xfrm>
          <a:off x="6502976" y="5117523"/>
          <a:ext cx="424296" cy="1489363"/>
        </a:xfrm>
        <a:prstGeom prst="leftBrace">
          <a:avLst/>
        </a:prstGeom>
        <a:ln w="317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PE"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209549</xdr:colOff>
      <xdr:row>46</xdr:row>
      <xdr:rowOff>152400</xdr:rowOff>
    </xdr:from>
    <xdr:to>
      <xdr:col>12</xdr:col>
      <xdr:colOff>733425</xdr:colOff>
      <xdr:row>56</xdr:row>
      <xdr:rowOff>171450</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a:srcRect l="18670" t="25784" r="16901" b="47910"/>
        <a:stretch/>
      </xdr:blipFill>
      <xdr:spPr>
        <a:xfrm>
          <a:off x="1733549" y="9544050"/>
          <a:ext cx="8382001" cy="1924050"/>
        </a:xfrm>
        <a:prstGeom prst="rect">
          <a:avLst/>
        </a:prstGeom>
      </xdr:spPr>
    </xdr:pic>
    <xdr:clientData/>
  </xdr:twoCellAnchor>
  <xdr:twoCellAnchor>
    <xdr:from>
      <xdr:col>13</xdr:col>
      <xdr:colOff>142875</xdr:colOff>
      <xdr:row>20</xdr:row>
      <xdr:rowOff>38100</xdr:rowOff>
    </xdr:from>
    <xdr:to>
      <xdr:col>14</xdr:col>
      <xdr:colOff>689110</xdr:colOff>
      <xdr:row>24</xdr:row>
      <xdr:rowOff>32182</xdr:rowOff>
    </xdr:to>
    <mc:AlternateContent xmlns:mc="http://schemas.openxmlformats.org/markup-compatibility/2006" xmlns:a14="http://schemas.microsoft.com/office/drawing/2010/main">
      <mc:Choice Requires="a14">
        <xdr:sp macro="" textlink="">
          <xdr:nvSpPr>
            <xdr:cNvPr id="3" name="CuadroTexto 7">
              <a:extLst>
                <a:ext uri="{FF2B5EF4-FFF2-40B4-BE49-F238E27FC236}">
                  <a16:creationId xmlns:a16="http://schemas.microsoft.com/office/drawing/2014/main" id="{D6FD2223-0DBE-433D-87BB-3122EAFAD0C7}"/>
                </a:ext>
              </a:extLst>
            </xdr:cNvPr>
            <xdr:cNvSpPr txBox="1"/>
          </xdr:nvSpPr>
          <xdr:spPr>
            <a:xfrm>
              <a:off x="10096500" y="4038600"/>
              <a:ext cx="1308235" cy="775132"/>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𝟏</m:t>
                            </m:r>
                          </m:sub>
                        </m:sSub>
                      </m:num>
                      <m:den>
                        <m:sSub>
                          <m:sSubPr>
                            <m:ctrlPr>
                              <a:rPr lang="es-PE" sz="1600" b="1" i="1">
                                <a:latin typeface="Cambria Math" panose="02040503050406030204" pitchFamily="18" charset="0"/>
                              </a:rPr>
                            </m:ctrlPr>
                          </m:sSubPr>
                          <m:e>
                            <m:r>
                              <a:rPr lang="es-PE" sz="1600" b="1" i="1">
                                <a:latin typeface="Cambria Math" panose="02040503050406030204" pitchFamily="18" charset="0"/>
                              </a:rPr>
                              <m:t>𝝈</m:t>
                            </m:r>
                          </m:e>
                          <m:sub>
                            <m:r>
                              <a:rPr lang="es-PE" sz="1600" b="1" i="0">
                                <a:latin typeface="Cambria Math" panose="02040503050406030204" pitchFamily="18" charset="0"/>
                              </a:rPr>
                              <m:t>𝟐</m:t>
                            </m:r>
                          </m:sub>
                        </m:sSub>
                      </m:den>
                    </m:f>
                    <m:r>
                      <a:rPr lang="es-PE" sz="1600" b="1" i="0">
                        <a:latin typeface="Cambria Math" panose="02040503050406030204" pitchFamily="18" charset="0"/>
                      </a:rPr>
                      <m:t>=</m:t>
                    </m:r>
                    <m:rad>
                      <m:radPr>
                        <m:degHide m:val="on"/>
                        <m:ctrlPr>
                          <a:rPr lang="es-PE" sz="1600" b="1" i="1">
                            <a:latin typeface="Cambria Math" panose="02040503050406030204" pitchFamily="18" charset="0"/>
                          </a:rPr>
                        </m:ctrlPr>
                      </m:radPr>
                      <m:deg/>
                      <m:e>
                        <m:f>
                          <m:fPr>
                            <m:ctrlPr>
                              <a:rPr lang="es-PE" sz="1600" b="1" i="1">
                                <a:latin typeface="Cambria Math" panose="02040503050406030204" pitchFamily="18" charset="0"/>
                              </a:rPr>
                            </m:ctrlPr>
                          </m:fPr>
                          <m:num>
                            <m:sSub>
                              <m:sSubPr>
                                <m:ctrlPr>
                                  <a:rPr lang="es-PE" sz="1600" b="1" i="1">
                                    <a:latin typeface="Cambria Math" panose="02040503050406030204" pitchFamily="18" charset="0"/>
                                  </a:rPr>
                                </m:ctrlPr>
                              </m:sSubPr>
                              <m:e>
                                <m:r>
                                  <a:rPr lang="es-PE" sz="1600" b="1" i="1">
                                    <a:latin typeface="Cambria Math" panose="02040503050406030204" pitchFamily="18" charset="0"/>
                                  </a:rPr>
                                  <m:t>𝑻</m:t>
                                </m:r>
                              </m:e>
                              <m:sub>
                                <m:r>
                                  <a:rPr lang="es-PE" sz="1600" b="1" i="0">
                                    <a:latin typeface="Cambria Math" panose="02040503050406030204" pitchFamily="18" charset="0"/>
                                  </a:rPr>
                                  <m:t>𝟏</m:t>
                                </m:r>
                              </m:sub>
                            </m:sSub>
                          </m:num>
                          <m:den>
                            <m:r>
                              <a:rPr lang="es-PE" sz="1600" b="1" i="1">
                                <a:latin typeface="Cambria Math" panose="02040503050406030204" pitchFamily="18" charset="0"/>
                              </a:rPr>
                              <m:t>𝑻𝑬</m:t>
                            </m:r>
                            <m:r>
                              <a:rPr lang="es-PE" sz="1600" b="1" i="1">
                                <a:latin typeface="Cambria Math" panose="02040503050406030204" pitchFamily="18" charset="0"/>
                              </a:rPr>
                              <m:t>+</m:t>
                            </m:r>
                            <m:r>
                              <a:rPr lang="es-PE" sz="1600" b="1" i="1">
                                <a:latin typeface="Cambria Math" panose="02040503050406030204" pitchFamily="18" charset="0"/>
                              </a:rPr>
                              <m:t>𝑻</m:t>
                            </m:r>
                          </m:den>
                        </m:f>
                      </m:e>
                    </m:rad>
                  </m:oMath>
                </m:oMathPara>
              </a14:m>
              <a:endParaRPr lang="es-PE" sz="1600" b="1"/>
            </a:p>
          </xdr:txBody>
        </xdr:sp>
      </mc:Choice>
      <mc:Fallback xmlns="">
        <xdr:sp macro="" textlink="">
          <xdr:nvSpPr>
            <xdr:cNvPr id="3" name="CuadroTexto 7">
              <a:extLst>
                <a:ext uri="{FF2B5EF4-FFF2-40B4-BE49-F238E27FC236}">
                  <a16:creationId xmlns:a16="http://schemas.microsoft.com/office/drawing/2014/main" id="{D6FD2223-0DBE-433D-87BB-3122EAFAD0C7}"/>
                </a:ext>
              </a:extLst>
            </xdr:cNvPr>
            <xdr:cNvSpPr txBox="1"/>
          </xdr:nvSpPr>
          <xdr:spPr>
            <a:xfrm>
              <a:off x="10096500" y="4038600"/>
              <a:ext cx="1308235" cy="775132"/>
            </a:xfrm>
            <a:prstGeom prst="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1600" b="1" i="0">
                  <a:latin typeface="Cambria Math" panose="02040503050406030204" pitchFamily="18" charset="0"/>
                </a:rPr>
                <a:t>𝝈_𝟏/𝝈_𝟐 =√(𝑻_𝟏/(𝑻𝑬+𝑻))</a:t>
              </a:r>
              <a:endParaRPr lang="es-PE" sz="1600" b="1"/>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6</xdr:col>
      <xdr:colOff>59582</xdr:colOff>
      <xdr:row>23</xdr:row>
      <xdr:rowOff>191078</xdr:rowOff>
    </xdr:from>
    <xdr:to>
      <xdr:col>6</xdr:col>
      <xdr:colOff>362650</xdr:colOff>
      <xdr:row>23</xdr:row>
      <xdr:rowOff>191078</xdr:rowOff>
    </xdr:to>
    <xdr:cxnSp macro="">
      <xdr:nvCxnSpPr>
        <xdr:cNvPr id="2" name="Conector recto de flecha 1">
          <a:extLst>
            <a:ext uri="{FF2B5EF4-FFF2-40B4-BE49-F238E27FC236}">
              <a16:creationId xmlns:a16="http://schemas.microsoft.com/office/drawing/2014/main" id="{00000000-0008-0000-0C00-000002000000}"/>
            </a:ext>
          </a:extLst>
        </xdr:cNvPr>
        <xdr:cNvCxnSpPr/>
      </xdr:nvCxnSpPr>
      <xdr:spPr>
        <a:xfrm>
          <a:off x="4377582" y="4818641"/>
          <a:ext cx="303068" cy="0"/>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465992</xdr:colOff>
      <xdr:row>23</xdr:row>
      <xdr:rowOff>47627</xdr:rowOff>
    </xdr:from>
    <xdr:to>
      <xdr:col>7</xdr:col>
      <xdr:colOff>102302</xdr:colOff>
      <xdr:row>24</xdr:row>
      <xdr:rowOff>174517</xdr:rowOff>
    </xdr:to>
    <xdr:grpSp>
      <xdr:nvGrpSpPr>
        <xdr:cNvPr id="3" name="30 Grupo">
          <a:extLst>
            <a:ext uri="{FF2B5EF4-FFF2-40B4-BE49-F238E27FC236}">
              <a16:creationId xmlns:a16="http://schemas.microsoft.com/office/drawing/2014/main" id="{00000000-0008-0000-0C00-000003000000}"/>
            </a:ext>
          </a:extLst>
        </xdr:cNvPr>
        <xdr:cNvGrpSpPr/>
      </xdr:nvGrpSpPr>
      <xdr:grpSpPr>
        <a:xfrm>
          <a:off x="4933217" y="4695827"/>
          <a:ext cx="398310" cy="326915"/>
          <a:chOff x="5868144" y="5710631"/>
          <a:chExt cx="1152128" cy="874147"/>
        </a:xfrm>
      </xdr:grpSpPr>
      <xdr:cxnSp macro="">
        <xdr:nvCxnSpPr>
          <xdr:cNvPr id="4" name="8 Conector recto">
            <a:extLst>
              <a:ext uri="{FF2B5EF4-FFF2-40B4-BE49-F238E27FC236}">
                <a16:creationId xmlns:a16="http://schemas.microsoft.com/office/drawing/2014/main" id="{00000000-0008-0000-0C00-000004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14 Conector recto">
            <a:extLst>
              <a:ext uri="{FF2B5EF4-FFF2-40B4-BE49-F238E27FC236}">
                <a16:creationId xmlns:a16="http://schemas.microsoft.com/office/drawing/2014/main" id="{00000000-0008-0000-0C00-000005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17 Conector recto">
            <a:extLst>
              <a:ext uri="{FF2B5EF4-FFF2-40B4-BE49-F238E27FC236}">
                <a16:creationId xmlns:a16="http://schemas.microsoft.com/office/drawing/2014/main" id="{00000000-0008-0000-0C00-000006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21 Conector recto">
            <a:extLst>
              <a:ext uri="{FF2B5EF4-FFF2-40B4-BE49-F238E27FC236}">
                <a16:creationId xmlns:a16="http://schemas.microsoft.com/office/drawing/2014/main" id="{00000000-0008-0000-0C00-000007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23 Conector recto">
            <a:extLst>
              <a:ext uri="{FF2B5EF4-FFF2-40B4-BE49-F238E27FC236}">
                <a16:creationId xmlns:a16="http://schemas.microsoft.com/office/drawing/2014/main" id="{00000000-0008-0000-0C00-000008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26 Conector recto">
            <a:extLst>
              <a:ext uri="{FF2B5EF4-FFF2-40B4-BE49-F238E27FC236}">
                <a16:creationId xmlns:a16="http://schemas.microsoft.com/office/drawing/2014/main" id="{00000000-0008-0000-0C00-000009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29 Conector recto">
            <a:extLst>
              <a:ext uri="{FF2B5EF4-FFF2-40B4-BE49-F238E27FC236}">
                <a16:creationId xmlns:a16="http://schemas.microsoft.com/office/drawing/2014/main" id="{00000000-0008-0000-0C00-00000A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475081</xdr:colOff>
      <xdr:row>23</xdr:row>
      <xdr:rowOff>173760</xdr:rowOff>
    </xdr:from>
    <xdr:to>
      <xdr:col>4</xdr:col>
      <xdr:colOff>783344</xdr:colOff>
      <xdr:row>23</xdr:row>
      <xdr:rowOff>178955</xdr:rowOff>
    </xdr:to>
    <xdr:cxnSp macro="">
      <xdr:nvCxnSpPr>
        <xdr:cNvPr id="11" name="Conector recto de flecha 10">
          <a:extLst>
            <a:ext uri="{FF2B5EF4-FFF2-40B4-BE49-F238E27FC236}">
              <a16:creationId xmlns:a16="http://schemas.microsoft.com/office/drawing/2014/main" id="{00000000-0008-0000-0C00-00000B000000}"/>
            </a:ext>
          </a:extLst>
        </xdr:cNvPr>
        <xdr:cNvCxnSpPr/>
      </xdr:nvCxnSpPr>
      <xdr:spPr>
        <a:xfrm>
          <a:off x="3269081" y="4817198"/>
          <a:ext cx="308263" cy="5195"/>
        </a:xfrm>
        <a:prstGeom prst="straightConnector1">
          <a:avLst/>
        </a:prstGeom>
        <a:ln w="41275">
          <a:solidFill>
            <a:srgbClr val="00206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730244</xdr:colOff>
      <xdr:row>23</xdr:row>
      <xdr:rowOff>47338</xdr:rowOff>
    </xdr:from>
    <xdr:to>
      <xdr:col>4</xdr:col>
      <xdr:colOff>366554</xdr:colOff>
      <xdr:row>24</xdr:row>
      <xdr:rowOff>174227</xdr:rowOff>
    </xdr:to>
    <xdr:grpSp>
      <xdr:nvGrpSpPr>
        <xdr:cNvPr id="12" name="30 Grupo">
          <a:extLst>
            <a:ext uri="{FF2B5EF4-FFF2-40B4-BE49-F238E27FC236}">
              <a16:creationId xmlns:a16="http://schemas.microsoft.com/office/drawing/2014/main" id="{00000000-0008-0000-0C00-00000C000000}"/>
            </a:ext>
          </a:extLst>
        </xdr:cNvPr>
        <xdr:cNvGrpSpPr/>
      </xdr:nvGrpSpPr>
      <xdr:grpSpPr>
        <a:xfrm>
          <a:off x="2759069" y="4695538"/>
          <a:ext cx="398310" cy="326914"/>
          <a:chOff x="5868144" y="5710631"/>
          <a:chExt cx="1152128" cy="874147"/>
        </a:xfrm>
      </xdr:grpSpPr>
      <xdr:cxnSp macro="">
        <xdr:nvCxnSpPr>
          <xdr:cNvPr id="13" name="8 Conector recto">
            <a:extLst>
              <a:ext uri="{FF2B5EF4-FFF2-40B4-BE49-F238E27FC236}">
                <a16:creationId xmlns:a16="http://schemas.microsoft.com/office/drawing/2014/main" id="{00000000-0008-0000-0C00-00000D000000}"/>
              </a:ext>
            </a:extLst>
          </xdr:cNvPr>
          <xdr:cNvCxnSpPr/>
        </xdr:nvCxnSpPr>
        <xdr:spPr>
          <a:xfrm flipV="1">
            <a:off x="5868144" y="5721990"/>
            <a:ext cx="18001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14 Conector recto">
            <a:extLst>
              <a:ext uri="{FF2B5EF4-FFF2-40B4-BE49-F238E27FC236}">
                <a16:creationId xmlns:a16="http://schemas.microsoft.com/office/drawing/2014/main" id="{00000000-0008-0000-0C00-00000E000000}"/>
              </a:ext>
            </a:extLst>
          </xdr:cNvPr>
          <xdr:cNvCxnSpPr/>
        </xdr:nvCxnSpPr>
        <xdr:spPr>
          <a:xfrm flipH="1" flipV="1">
            <a:off x="6048165" y="5721990"/>
            <a:ext cx="180019"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17 Conector recto">
            <a:extLst>
              <a:ext uri="{FF2B5EF4-FFF2-40B4-BE49-F238E27FC236}">
                <a16:creationId xmlns:a16="http://schemas.microsoft.com/office/drawing/2014/main" id="{00000000-0008-0000-0C00-00000F000000}"/>
              </a:ext>
            </a:extLst>
          </xdr:cNvPr>
          <xdr:cNvCxnSpPr/>
        </xdr:nvCxnSpPr>
        <xdr:spPr>
          <a:xfrm flipV="1">
            <a:off x="6228185" y="5721990"/>
            <a:ext cx="144016" cy="8117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21 Conector recto">
            <a:extLst>
              <a:ext uri="{FF2B5EF4-FFF2-40B4-BE49-F238E27FC236}">
                <a16:creationId xmlns:a16="http://schemas.microsoft.com/office/drawing/2014/main" id="{00000000-0008-0000-0C00-000010000000}"/>
              </a:ext>
            </a:extLst>
          </xdr:cNvPr>
          <xdr:cNvCxnSpPr/>
        </xdr:nvCxnSpPr>
        <xdr:spPr>
          <a:xfrm flipH="1" flipV="1">
            <a:off x="6380585" y="5710631"/>
            <a:ext cx="180019" cy="670697"/>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7" name="23 Conector recto">
            <a:extLst>
              <a:ext uri="{FF2B5EF4-FFF2-40B4-BE49-F238E27FC236}">
                <a16:creationId xmlns:a16="http://schemas.microsoft.com/office/drawing/2014/main" id="{00000000-0008-0000-0C00-000011000000}"/>
              </a:ext>
            </a:extLst>
          </xdr:cNvPr>
          <xdr:cNvCxnSpPr/>
        </xdr:nvCxnSpPr>
        <xdr:spPr>
          <a:xfrm flipV="1">
            <a:off x="6560605" y="5721990"/>
            <a:ext cx="99629" cy="659338"/>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26 Conector recto">
            <a:extLst>
              <a:ext uri="{FF2B5EF4-FFF2-40B4-BE49-F238E27FC236}">
                <a16:creationId xmlns:a16="http://schemas.microsoft.com/office/drawing/2014/main" id="{00000000-0008-0000-0C00-000012000000}"/>
              </a:ext>
            </a:extLst>
          </xdr:cNvPr>
          <xdr:cNvCxnSpPr/>
        </xdr:nvCxnSpPr>
        <xdr:spPr>
          <a:xfrm flipH="1" flipV="1">
            <a:off x="6660233" y="5721992"/>
            <a:ext cx="216024"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29 Conector recto">
            <a:extLst>
              <a:ext uri="{FF2B5EF4-FFF2-40B4-BE49-F238E27FC236}">
                <a16:creationId xmlns:a16="http://schemas.microsoft.com/office/drawing/2014/main" id="{00000000-0008-0000-0C00-000013000000}"/>
              </a:ext>
            </a:extLst>
          </xdr:cNvPr>
          <xdr:cNvCxnSpPr/>
        </xdr:nvCxnSpPr>
        <xdr:spPr>
          <a:xfrm flipV="1">
            <a:off x="6876256" y="5721992"/>
            <a:ext cx="144016" cy="862786"/>
          </a:xfrm>
          <a:prstGeom prst="line">
            <a:avLst/>
          </a:prstGeom>
          <a:ln w="34925">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547688</xdr:colOff>
      <xdr:row>25</xdr:row>
      <xdr:rowOff>55563</xdr:rowOff>
    </xdr:from>
    <xdr:to>
      <xdr:col>10</xdr:col>
      <xdr:colOff>594955</xdr:colOff>
      <xdr:row>30</xdr:row>
      <xdr:rowOff>194259</xdr:rowOff>
    </xdr:to>
    <mc:AlternateContent xmlns:mc="http://schemas.openxmlformats.org/markup-compatibility/2006" xmlns:a14="http://schemas.microsoft.com/office/drawing/2010/main">
      <mc:Choice Requires="a14">
        <xdr:sp macro="" textlink="">
          <xdr:nvSpPr>
            <xdr:cNvPr id="20" name="CuadroTexto 7">
              <a:extLst>
                <a:ext uri="{FF2B5EF4-FFF2-40B4-BE49-F238E27FC236}">
                  <a16:creationId xmlns:a16="http://schemas.microsoft.com/office/drawing/2014/main" id="{00000000-0008-0000-0C00-000014000000}"/>
                </a:ext>
              </a:extLst>
            </xdr:cNvPr>
            <xdr:cNvSpPr txBox="1"/>
          </xdr:nvSpPr>
          <xdr:spPr>
            <a:xfrm>
              <a:off x="5778501" y="5095876"/>
              <a:ext cx="2333267" cy="1091196"/>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f>
                      <m:fPr>
                        <m:ctrlPr>
                          <a:rPr lang="es-PE" sz="2400" b="1" i="1">
                            <a:latin typeface="Cambria Math" panose="02040503050406030204" pitchFamily="18" charset="0"/>
                          </a:rPr>
                        </m:ctrlPr>
                      </m:fPr>
                      <m:num>
                        <m:sSub>
                          <m:sSubPr>
                            <m:ctrlPr>
                              <a:rPr lang="es-PE" sz="2400" b="1" i="1">
                                <a:latin typeface="Cambria Math" panose="02040503050406030204" pitchFamily="18" charset="0"/>
                              </a:rPr>
                            </m:ctrlPr>
                          </m:sSubPr>
                          <m:e>
                            <m:r>
                              <a:rPr lang="es-PE" sz="2400" b="1" i="1">
                                <a:latin typeface="Cambria Math" panose="02040503050406030204" pitchFamily="18" charset="0"/>
                              </a:rPr>
                              <m:t>𝝈</m:t>
                            </m:r>
                          </m:e>
                          <m:sub>
                            <m:r>
                              <a:rPr lang="es-PE" sz="2400" b="1" i="0">
                                <a:latin typeface="Cambria Math" panose="02040503050406030204" pitchFamily="18" charset="0"/>
                              </a:rPr>
                              <m:t>𝟏</m:t>
                            </m:r>
                          </m:sub>
                        </m:sSub>
                      </m:num>
                      <m:den>
                        <m:sSub>
                          <m:sSubPr>
                            <m:ctrlPr>
                              <a:rPr lang="es-PE" sz="2400" b="1" i="1">
                                <a:latin typeface="Cambria Math" panose="02040503050406030204" pitchFamily="18" charset="0"/>
                              </a:rPr>
                            </m:ctrlPr>
                          </m:sSubPr>
                          <m:e>
                            <m:r>
                              <a:rPr lang="es-PE" sz="2400" b="1" i="1">
                                <a:latin typeface="Cambria Math" panose="02040503050406030204" pitchFamily="18" charset="0"/>
                              </a:rPr>
                              <m:t>𝝈</m:t>
                            </m:r>
                          </m:e>
                          <m:sub>
                            <m:r>
                              <a:rPr lang="es-PE" sz="2400" b="1" i="0">
                                <a:latin typeface="Cambria Math" panose="02040503050406030204" pitchFamily="18" charset="0"/>
                              </a:rPr>
                              <m:t>𝟐</m:t>
                            </m:r>
                          </m:sub>
                        </m:sSub>
                      </m:den>
                    </m:f>
                    <m:r>
                      <a:rPr lang="es-PE" sz="2400" b="1" i="0">
                        <a:latin typeface="Cambria Math" panose="02040503050406030204" pitchFamily="18" charset="0"/>
                      </a:rPr>
                      <m:t>=</m:t>
                    </m:r>
                    <m:rad>
                      <m:radPr>
                        <m:degHide m:val="on"/>
                        <m:ctrlPr>
                          <a:rPr lang="es-PE" sz="2400" b="1" i="1">
                            <a:latin typeface="Cambria Math" panose="02040503050406030204" pitchFamily="18" charset="0"/>
                          </a:rPr>
                        </m:ctrlPr>
                      </m:radPr>
                      <m:deg/>
                      <m:e>
                        <m:f>
                          <m:fPr>
                            <m:ctrlPr>
                              <a:rPr lang="es-PE" sz="2400" b="1" i="1">
                                <a:latin typeface="Cambria Math" panose="02040503050406030204" pitchFamily="18" charset="0"/>
                              </a:rPr>
                            </m:ctrlPr>
                          </m:fPr>
                          <m:num>
                            <m:sSub>
                              <m:sSubPr>
                                <m:ctrlPr>
                                  <a:rPr lang="es-PE" sz="2400" b="1" i="1">
                                    <a:latin typeface="Cambria Math" panose="02040503050406030204" pitchFamily="18" charset="0"/>
                                  </a:rPr>
                                </m:ctrlPr>
                              </m:sSubPr>
                              <m:e>
                                <m:r>
                                  <a:rPr lang="es-PE" sz="2400" b="1" i="1">
                                    <a:latin typeface="Cambria Math" panose="02040503050406030204" pitchFamily="18" charset="0"/>
                                  </a:rPr>
                                  <m:t>𝑻</m:t>
                                </m:r>
                              </m:e>
                              <m:sub>
                                <m:r>
                                  <a:rPr lang="es-PE" sz="2400" b="1" i="0">
                                    <a:latin typeface="Cambria Math" panose="02040503050406030204" pitchFamily="18" charset="0"/>
                                  </a:rPr>
                                  <m:t>𝟏</m:t>
                                </m:r>
                              </m:sub>
                            </m:sSub>
                          </m:num>
                          <m:den>
                            <m:r>
                              <a:rPr lang="es-PE" sz="2400" b="1" i="1">
                                <a:latin typeface="Cambria Math" panose="02040503050406030204" pitchFamily="18" charset="0"/>
                              </a:rPr>
                              <m:t>𝑻𝑬</m:t>
                            </m:r>
                            <m:r>
                              <a:rPr lang="es-PE" sz="2400" b="1" i="1">
                                <a:latin typeface="Cambria Math" panose="02040503050406030204" pitchFamily="18" charset="0"/>
                              </a:rPr>
                              <m:t>+</m:t>
                            </m:r>
                            <m:r>
                              <a:rPr lang="es-PE" sz="2400" b="1" i="1">
                                <a:latin typeface="Cambria Math" panose="02040503050406030204" pitchFamily="18" charset="0"/>
                              </a:rPr>
                              <m:t>𝑻</m:t>
                            </m:r>
                          </m:den>
                        </m:f>
                      </m:e>
                    </m:rad>
                  </m:oMath>
                </m:oMathPara>
              </a14:m>
              <a:endParaRPr lang="es-PE" sz="2400" b="1"/>
            </a:p>
          </xdr:txBody>
        </xdr:sp>
      </mc:Choice>
      <mc:Fallback xmlns="">
        <xdr:sp macro="" textlink="">
          <xdr:nvSpPr>
            <xdr:cNvPr id="20" name="CuadroTexto 7">
              <a:extLst>
                <a:ext uri="{FF2B5EF4-FFF2-40B4-BE49-F238E27FC236}">
                  <a16:creationId xmlns:a16="http://schemas.microsoft.com/office/drawing/2014/main" id="{EF172DA5-B84A-4A90-9D10-ED46782D701A}"/>
                </a:ext>
              </a:extLst>
            </xdr:cNvPr>
            <xdr:cNvSpPr txBox="1"/>
          </xdr:nvSpPr>
          <xdr:spPr>
            <a:xfrm>
              <a:off x="5778501" y="5095876"/>
              <a:ext cx="2333267" cy="1091196"/>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b="1" i="0">
                  <a:latin typeface="Cambria Math" panose="02040503050406030204" pitchFamily="18" charset="0"/>
                </a:rPr>
                <a:t>𝝈_𝟏/𝝈_𝟐 =√(𝑻_𝟏/(𝑻𝑬+𝑻))</a:t>
              </a:r>
              <a:endParaRPr lang="es-PE" sz="2400" b="1"/>
            </a:p>
          </xdr:txBody>
        </xdr:sp>
      </mc:Fallback>
    </mc:AlternateContent>
    <xdr:clientData/>
  </xdr:twoCellAnchor>
  <xdr:twoCellAnchor>
    <xdr:from>
      <xdr:col>7</xdr:col>
      <xdr:colOff>571500</xdr:colOff>
      <xdr:row>31</xdr:row>
      <xdr:rowOff>55563</xdr:rowOff>
    </xdr:from>
    <xdr:to>
      <xdr:col>10</xdr:col>
      <xdr:colOff>563563</xdr:colOff>
      <xdr:row>34</xdr:row>
      <xdr:rowOff>30223</xdr:rowOff>
    </xdr:to>
    <mc:AlternateContent xmlns:mc="http://schemas.openxmlformats.org/markup-compatibility/2006" xmlns:a14="http://schemas.microsoft.com/office/drawing/2010/main">
      <mc:Choice Requires="a14">
        <xdr:sp macro="" textlink="">
          <xdr:nvSpPr>
            <xdr:cNvPr id="21" name="CuadroTexto 6">
              <a:extLst>
                <a:ext uri="{FF2B5EF4-FFF2-40B4-BE49-F238E27FC236}">
                  <a16:creationId xmlns:a16="http://schemas.microsoft.com/office/drawing/2014/main" id="{00000000-0008-0000-0C00-000015000000}"/>
                </a:ext>
              </a:extLst>
            </xdr:cNvPr>
            <xdr:cNvSpPr txBox="1"/>
          </xdr:nvSpPr>
          <xdr:spPr>
            <a:xfrm>
              <a:off x="5802313" y="6286501"/>
              <a:ext cx="2278063" cy="68903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s-PE" sz="2400" i="1">
                        <a:latin typeface="Cambria Math" panose="02040503050406030204" pitchFamily="18" charset="0"/>
                      </a:rPr>
                      <m:t>𝐼𝑃</m:t>
                    </m:r>
                    <m:r>
                      <a:rPr lang="es-PE" sz="2400" i="0">
                        <a:latin typeface="Cambria Math" panose="02040503050406030204" pitchFamily="18" charset="0"/>
                      </a:rPr>
                      <m:t>=</m:t>
                    </m:r>
                    <m:f>
                      <m:fPr>
                        <m:ctrlPr>
                          <a:rPr lang="es-PE" sz="2400" i="1">
                            <a:latin typeface="Cambria Math" panose="02040503050406030204" pitchFamily="18" charset="0"/>
                          </a:rPr>
                        </m:ctrlPr>
                      </m:fPr>
                      <m:num>
                        <m:r>
                          <a:rPr lang="es-PE" sz="2400" i="1">
                            <a:latin typeface="Cambria Math" panose="02040503050406030204" pitchFamily="18" charset="0"/>
                          </a:rPr>
                          <m:t>𝐷</m:t>
                        </m:r>
                        <m:r>
                          <a:rPr lang="es-PE" sz="2400" i="0">
                            <a:latin typeface="Cambria Math" panose="02040503050406030204" pitchFamily="18" charset="0"/>
                          </a:rPr>
                          <m:t>×</m:t>
                        </m:r>
                        <m:r>
                          <a:rPr lang="es-PE" sz="2400" i="1">
                            <a:latin typeface="Cambria Math" panose="02040503050406030204" pitchFamily="18" charset="0"/>
                          </a:rPr>
                          <m:t>𝑇</m:t>
                        </m:r>
                      </m:num>
                      <m:den>
                        <m:r>
                          <a:rPr lang="es-PE" sz="2400" i="0">
                            <a:latin typeface="Cambria Math" panose="02040503050406030204" pitchFamily="18" charset="0"/>
                          </a:rPr>
                          <m:t>2</m:t>
                        </m:r>
                      </m:den>
                    </m:f>
                    <m:r>
                      <a:rPr lang="es-PE" sz="2400" i="0">
                        <a:latin typeface="Cambria Math" panose="02040503050406030204" pitchFamily="18" charset="0"/>
                      </a:rPr>
                      <m:t>+</m:t>
                    </m:r>
                    <m:r>
                      <a:rPr lang="es-PE" sz="2400" i="1">
                        <a:latin typeface="Cambria Math" panose="02040503050406030204" pitchFamily="18" charset="0"/>
                      </a:rPr>
                      <m:t>𝑆𝑆</m:t>
                    </m:r>
                  </m:oMath>
                </m:oMathPara>
              </a14:m>
              <a:endParaRPr lang="es-PE" sz="2400"/>
            </a:p>
          </xdr:txBody>
        </xdr:sp>
      </mc:Choice>
      <mc:Fallback xmlns="">
        <xdr:sp macro="" textlink="">
          <xdr:nvSpPr>
            <xdr:cNvPr id="21" name="CuadroTexto 6">
              <a:extLst>
                <a:ext uri="{FF2B5EF4-FFF2-40B4-BE49-F238E27FC236}">
                  <a16:creationId xmlns:a16="http://schemas.microsoft.com/office/drawing/2014/main" id="{EA144606-A4C9-470A-8DC6-92619387AD1C}"/>
                </a:ext>
              </a:extLst>
            </xdr:cNvPr>
            <xdr:cNvSpPr txBox="1"/>
          </xdr:nvSpPr>
          <xdr:spPr>
            <a:xfrm>
              <a:off x="5802313" y="6286501"/>
              <a:ext cx="2278063" cy="68903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PE" sz="2400" i="0">
                  <a:latin typeface="Cambria Math" panose="02040503050406030204" pitchFamily="18" charset="0"/>
                </a:rPr>
                <a:t>𝐼𝑃=(𝐷×𝑇)/2+𝑆𝑆</a:t>
              </a:r>
              <a:endParaRPr lang="es-PE" sz="2400"/>
            </a:p>
          </xdr:txBody>
        </xdr:sp>
      </mc:Fallback>
    </mc:AlternateContent>
    <xdr:clientData/>
  </xdr:twoCellAnchor>
  <xdr:oneCellAnchor>
    <xdr:from>
      <xdr:col>5</xdr:col>
      <xdr:colOff>206375</xdr:colOff>
      <xdr:row>39</xdr:row>
      <xdr:rowOff>71438</xdr:rowOff>
    </xdr:from>
    <xdr:ext cx="4988802" cy="468911"/>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C00-000016000000}"/>
                </a:ext>
              </a:extLst>
            </xdr:cNvPr>
            <xdr:cNvSpPr txBox="1"/>
          </xdr:nvSpPr>
          <xdr:spPr>
            <a:xfrm>
              <a:off x="3913188" y="8008938"/>
              <a:ext cx="4988802" cy="468911"/>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000"/>
                <a:t>Costo</a:t>
              </a:r>
              <a:r>
                <a:rPr lang="es-PE" sz="2000" baseline="0"/>
                <a:t> x Falta de Existencias</a:t>
              </a:r>
              <a14:m>
                <m:oMath xmlns:m="http://schemas.openxmlformats.org/officeDocument/2006/math">
                  <m:r>
                    <a:rPr lang="es-PE" sz="2000" i="0">
                      <a:latin typeface="Cambria Math" panose="02040503050406030204" pitchFamily="18" charset="0"/>
                    </a:rPr>
                    <m:t>=</m:t>
                  </m:r>
                  <m:f>
                    <m:fPr>
                      <m:ctrlPr>
                        <a:rPr lang="es-PE" sz="2000" i="1">
                          <a:latin typeface="Cambria Math" panose="02040503050406030204" pitchFamily="18" charset="0"/>
                        </a:rPr>
                      </m:ctrlPr>
                    </m:fPr>
                    <m:num>
                      <m:r>
                        <a:rPr lang="es-PE" sz="2000" i="1">
                          <a:latin typeface="Cambria Math" panose="02040503050406030204" pitchFamily="18" charset="0"/>
                        </a:rPr>
                        <m:t>𝐷</m:t>
                      </m:r>
                    </m:num>
                    <m:den>
                      <m:r>
                        <a:rPr lang="es-PE" sz="2000" i="1">
                          <a:latin typeface="Cambria Math" panose="02040503050406030204" pitchFamily="18" charset="0"/>
                        </a:rPr>
                        <m:t>𝑄</m:t>
                      </m:r>
                    </m:den>
                  </m:f>
                  <m:r>
                    <a:rPr lang="es-PE" sz="2000" i="0">
                      <a:latin typeface="Cambria Math" panose="02040503050406030204" pitchFamily="18" charset="0"/>
                    </a:rPr>
                    <m:t>×</m:t>
                  </m:r>
                  <m:r>
                    <a:rPr lang="es-PE" sz="2000" i="1">
                      <a:latin typeface="Cambria Math" panose="02040503050406030204" pitchFamily="18" charset="0"/>
                    </a:rPr>
                    <m:t>𝜎</m:t>
                  </m:r>
                  <m:r>
                    <a:rPr lang="es-PE" sz="2000" i="0">
                      <a:latin typeface="Cambria Math" panose="02040503050406030204" pitchFamily="18" charset="0"/>
                    </a:rPr>
                    <m:t>×</m:t>
                  </m:r>
                  <m:r>
                    <a:rPr lang="es-PE" sz="2000" i="1">
                      <a:latin typeface="Cambria Math" panose="02040503050406030204" pitchFamily="18" charset="0"/>
                    </a:rPr>
                    <m:t>𝐾</m:t>
                  </m:r>
                  <m:r>
                    <a:rPr lang="es-PE" sz="2000" i="0">
                      <a:latin typeface="Cambria Math" panose="02040503050406030204" pitchFamily="18" charset="0"/>
                    </a:rPr>
                    <m:t>×</m:t>
                  </m:r>
                  <m:r>
                    <a:rPr lang="es-PE" sz="2000" i="1">
                      <a:latin typeface="Cambria Math" panose="02040503050406030204" pitchFamily="18" charset="0"/>
                    </a:rPr>
                    <m:t>𝐸</m:t>
                  </m:r>
                  <m:d>
                    <m:dPr>
                      <m:ctrlPr>
                        <a:rPr lang="es-PE" sz="2000" i="1">
                          <a:latin typeface="Cambria Math" panose="02040503050406030204" pitchFamily="18" charset="0"/>
                        </a:rPr>
                      </m:ctrlPr>
                    </m:dPr>
                    <m:e>
                      <m:r>
                        <a:rPr lang="es-PE" sz="2000" i="1">
                          <a:latin typeface="Cambria Math" panose="02040503050406030204" pitchFamily="18" charset="0"/>
                        </a:rPr>
                        <m:t>𝑧</m:t>
                      </m:r>
                    </m:e>
                  </m:d>
                </m:oMath>
              </a14:m>
              <a:endParaRPr lang="es-PE" sz="2000"/>
            </a:p>
          </xdr:txBody>
        </xdr:sp>
      </mc:Choice>
      <mc:Fallback xmlns="">
        <xdr:sp macro="" textlink="">
          <xdr:nvSpPr>
            <xdr:cNvPr id="22" name="CuadroTexto 21">
              <a:extLst>
                <a:ext uri="{FF2B5EF4-FFF2-40B4-BE49-F238E27FC236}">
                  <a16:creationId xmlns:a16="http://schemas.microsoft.com/office/drawing/2014/main" id="{F944B77D-3A1C-41CF-93F4-5198E342C457}"/>
                </a:ext>
              </a:extLst>
            </xdr:cNvPr>
            <xdr:cNvSpPr txBox="1"/>
          </xdr:nvSpPr>
          <xdr:spPr>
            <a:xfrm>
              <a:off x="3913188" y="8008938"/>
              <a:ext cx="4988802" cy="468911"/>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2000"/>
                <a:t>Costo</a:t>
              </a:r>
              <a:r>
                <a:rPr lang="es-PE" sz="2000" baseline="0"/>
                <a:t> x Falta de Existencias</a:t>
              </a:r>
              <a:r>
                <a:rPr lang="es-PE" sz="2000" i="0">
                  <a:latin typeface="Cambria Math" panose="02040503050406030204" pitchFamily="18" charset="0"/>
                </a:rPr>
                <a:t>=𝐷/𝑄×𝜎×𝐾×𝐸(𝑧)</a:t>
              </a:r>
              <a:endParaRPr lang="es-PE" sz="2000"/>
            </a:p>
          </xdr:txBody>
        </xdr:sp>
      </mc:Fallback>
    </mc:AlternateContent>
    <xdr:clientData/>
  </xdr:oneCellAnchor>
  <xdr:oneCellAnchor>
    <xdr:from>
      <xdr:col>6</xdr:col>
      <xdr:colOff>273049</xdr:colOff>
      <xdr:row>42</xdr:row>
      <xdr:rowOff>70644</xdr:rowOff>
    </xdr:from>
    <xdr:ext cx="2606226" cy="523157"/>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C00-000017000000}"/>
                </a:ext>
              </a:extLst>
            </xdr:cNvPr>
            <xdr:cNvSpPr txBox="1"/>
          </xdr:nvSpPr>
          <xdr:spPr>
            <a:xfrm>
              <a:off x="4741862" y="8643144"/>
              <a:ext cx="2606226" cy="5231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PE" sz="1800" b="0" i="1">
                        <a:latin typeface="Cambria Math" panose="02040503050406030204" pitchFamily="18" charset="0"/>
                      </a:rPr>
                      <m:t>𝐼𝑁𝑉</m:t>
                    </m:r>
                    <m:r>
                      <a:rPr lang="es-PE" sz="1800" b="0" i="1">
                        <a:latin typeface="Cambria Math" panose="02040503050406030204" pitchFamily="18" charset="0"/>
                      </a:rPr>
                      <m:t>_</m:t>
                    </m:r>
                    <m:r>
                      <a:rPr lang="es-PE" sz="1800" b="0" i="1">
                        <a:latin typeface="Cambria Math" panose="02040503050406030204" pitchFamily="18" charset="0"/>
                      </a:rPr>
                      <m:t>𝑃𝑅𝑂𝑀</m:t>
                    </m:r>
                    <m:r>
                      <a:rPr lang="es-PE" sz="1800" i="0">
                        <a:latin typeface="Cambria Math" panose="02040503050406030204" pitchFamily="18" charset="0"/>
                      </a:rPr>
                      <m:t>=</m:t>
                    </m:r>
                    <m:f>
                      <m:fPr>
                        <m:ctrlPr>
                          <a:rPr lang="es-PE" sz="1800" i="1">
                            <a:latin typeface="Cambria Math" panose="02040503050406030204" pitchFamily="18" charset="0"/>
                          </a:rPr>
                        </m:ctrlPr>
                      </m:fPr>
                      <m:num>
                        <m:r>
                          <m:rPr>
                            <m:sty m:val="p"/>
                          </m:rPr>
                          <a:rPr lang="es-PE" sz="1800" b="0" i="0">
                            <a:latin typeface="Cambria Math" panose="02040503050406030204" pitchFamily="18" charset="0"/>
                          </a:rPr>
                          <m:t>DEMANDA</m:t>
                        </m:r>
                      </m:num>
                      <m:den>
                        <m:r>
                          <a:rPr lang="es-PE" sz="1800" i="1">
                            <a:latin typeface="Cambria Math" panose="02040503050406030204" pitchFamily="18" charset="0"/>
                          </a:rPr>
                          <m:t>𝑅</m:t>
                        </m:r>
                        <m:r>
                          <a:rPr lang="es-PE" sz="1800" b="0" i="1">
                            <a:latin typeface="Cambria Math" panose="02040503050406030204" pitchFamily="18" charset="0"/>
                          </a:rPr>
                          <m:t>𝑜𝑡𝑎𝑐𝑖</m:t>
                        </m:r>
                        <m:r>
                          <a:rPr lang="es-PE" sz="1800" b="0" i="1">
                            <a:latin typeface="Cambria Math" panose="02040503050406030204" pitchFamily="18" charset="0"/>
                          </a:rPr>
                          <m:t>ó</m:t>
                        </m:r>
                        <m:r>
                          <a:rPr lang="es-PE" sz="1800" b="0" i="1">
                            <a:latin typeface="Cambria Math" panose="02040503050406030204" pitchFamily="18" charset="0"/>
                          </a:rPr>
                          <m:t>𝑛</m:t>
                        </m:r>
                      </m:den>
                    </m:f>
                  </m:oMath>
                </m:oMathPara>
              </a14:m>
              <a:endParaRPr lang="es-PE" sz="1100"/>
            </a:p>
          </xdr:txBody>
        </xdr:sp>
      </mc:Choice>
      <mc:Fallback xmlns="">
        <xdr:sp macro="" textlink="">
          <xdr:nvSpPr>
            <xdr:cNvPr id="23" name="CuadroTexto 22">
              <a:extLst>
                <a:ext uri="{FF2B5EF4-FFF2-40B4-BE49-F238E27FC236}">
                  <a16:creationId xmlns:a16="http://schemas.microsoft.com/office/drawing/2014/main" id="{BD1F238C-7EF1-4EA7-A86E-7FB982351AC1}"/>
                </a:ext>
              </a:extLst>
            </xdr:cNvPr>
            <xdr:cNvSpPr txBox="1"/>
          </xdr:nvSpPr>
          <xdr:spPr>
            <a:xfrm>
              <a:off x="4741862" y="8643144"/>
              <a:ext cx="2606226" cy="5231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PE" sz="1800" b="0" i="0">
                  <a:latin typeface="Cambria Math" panose="02040503050406030204" pitchFamily="18" charset="0"/>
                </a:rPr>
                <a:t>𝐼𝑁𝑉_𝑃𝑅𝑂𝑀</a:t>
              </a:r>
              <a:r>
                <a:rPr lang="es-PE" sz="1800" i="0">
                  <a:latin typeface="Cambria Math" panose="02040503050406030204" pitchFamily="18" charset="0"/>
                </a:rPr>
                <a:t>=</a:t>
              </a:r>
              <a:r>
                <a:rPr lang="es-PE" sz="1800" b="0" i="0">
                  <a:latin typeface="Cambria Math" panose="02040503050406030204" pitchFamily="18" charset="0"/>
                </a:rPr>
                <a:t>DEMANDA/</a:t>
              </a:r>
              <a:r>
                <a:rPr lang="es-PE" sz="1800" i="0">
                  <a:latin typeface="Cambria Math" panose="02040503050406030204" pitchFamily="18" charset="0"/>
                </a:rPr>
                <a:t>𝑅</a:t>
              </a:r>
              <a:r>
                <a:rPr lang="es-PE" sz="1800" b="0" i="0">
                  <a:latin typeface="Cambria Math" panose="02040503050406030204" pitchFamily="18" charset="0"/>
                </a:rPr>
                <a:t>𝑜𝑡𝑎𝑐𝑖ó𝑛</a:t>
              </a:r>
              <a:endParaRPr lang="es-PE"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FB2C-2B5B-4753-A028-9DBA94E78E35}">
  <dimension ref="B1:O58"/>
  <sheetViews>
    <sheetView topLeftCell="A19" zoomScale="110" zoomScaleNormal="110" workbookViewId="0">
      <selection activeCell="E56" sqref="E56"/>
    </sheetView>
  </sheetViews>
  <sheetFormatPr baseColWidth="10" defaultRowHeight="15" x14ac:dyDescent="0.25"/>
  <cols>
    <col min="1" max="1" width="6.5703125" customWidth="1"/>
  </cols>
  <sheetData>
    <row r="1" spans="2:14" ht="16.5" customHeight="1" x14ac:dyDescent="0.25">
      <c r="B1" s="252" t="s">
        <v>0</v>
      </c>
      <c r="C1" s="252"/>
      <c r="D1" s="252"/>
      <c r="E1" s="252"/>
      <c r="F1" s="252"/>
      <c r="G1" s="252"/>
      <c r="H1" s="252"/>
      <c r="I1" s="252"/>
      <c r="J1" s="252"/>
      <c r="K1" s="252"/>
      <c r="L1" s="252"/>
      <c r="M1" s="252"/>
      <c r="N1" s="252"/>
    </row>
    <row r="2" spans="2:14" ht="18" customHeight="1" x14ac:dyDescent="0.25">
      <c r="B2" s="252"/>
      <c r="C2" s="252"/>
      <c r="D2" s="252"/>
      <c r="E2" s="252"/>
      <c r="F2" s="252"/>
      <c r="G2" s="252"/>
      <c r="H2" s="252"/>
      <c r="I2" s="252"/>
      <c r="J2" s="252"/>
      <c r="K2" s="252"/>
      <c r="L2" s="252"/>
      <c r="M2" s="252"/>
      <c r="N2" s="252"/>
    </row>
    <row r="3" spans="2:14" ht="18" customHeight="1" x14ac:dyDescent="0.25">
      <c r="B3" s="252"/>
      <c r="C3" s="252"/>
      <c r="D3" s="252"/>
      <c r="E3" s="252"/>
      <c r="F3" s="252"/>
      <c r="G3" s="252"/>
      <c r="H3" s="252"/>
      <c r="I3" s="252"/>
      <c r="J3" s="252"/>
      <c r="K3" s="252"/>
      <c r="L3" s="252"/>
      <c r="M3" s="252"/>
      <c r="N3" s="252"/>
    </row>
    <row r="4" spans="2:14" ht="15.75" thickBot="1" x14ac:dyDescent="0.3"/>
    <row r="5" spans="2:14" ht="30.75" customHeight="1" thickBot="1" x14ac:dyDescent="0.3">
      <c r="C5" s="125" t="s">
        <v>1</v>
      </c>
      <c r="D5" s="255" t="s">
        <v>2</v>
      </c>
      <c r="E5" s="256"/>
      <c r="F5" s="257"/>
      <c r="G5" s="255" t="s">
        <v>3</v>
      </c>
      <c r="H5" s="256"/>
      <c r="I5" s="257"/>
    </row>
    <row r="6" spans="2:14" x14ac:dyDescent="0.25">
      <c r="C6" s="110">
        <v>1</v>
      </c>
      <c r="D6" s="110"/>
      <c r="E6" s="111">
        <v>650</v>
      </c>
      <c r="F6" s="112"/>
      <c r="G6" s="113"/>
      <c r="H6" s="111">
        <v>65</v>
      </c>
      <c r="I6" s="114"/>
    </row>
    <row r="7" spans="2:14" x14ac:dyDescent="0.25">
      <c r="C7" s="115">
        <v>2</v>
      </c>
      <c r="D7" s="115"/>
      <c r="E7" s="116">
        <v>430</v>
      </c>
      <c r="F7" s="117"/>
      <c r="G7" s="118"/>
      <c r="H7" s="116">
        <v>42</v>
      </c>
      <c r="I7" s="119"/>
    </row>
    <row r="8" spans="2:14" x14ac:dyDescent="0.25">
      <c r="C8" s="115">
        <v>3</v>
      </c>
      <c r="D8" s="115"/>
      <c r="E8" s="116">
        <v>920</v>
      </c>
      <c r="F8" s="117"/>
      <c r="G8" s="118"/>
      <c r="H8" s="116">
        <v>70</v>
      </c>
      <c r="I8" s="119"/>
    </row>
    <row r="9" spans="2:14" ht="15.75" thickBot="1" x14ac:dyDescent="0.3">
      <c r="C9" s="120">
        <v>4</v>
      </c>
      <c r="D9" s="120"/>
      <c r="E9" s="121">
        <v>1020</v>
      </c>
      <c r="F9" s="122"/>
      <c r="G9" s="123"/>
      <c r="H9" s="121">
        <v>95</v>
      </c>
      <c r="I9" s="124"/>
    </row>
    <row r="10" spans="2:14" x14ac:dyDescent="0.25">
      <c r="C10" s="253"/>
      <c r="D10" s="254"/>
      <c r="E10" s="2"/>
    </row>
    <row r="11" spans="2:14" ht="15.75" customHeight="1" x14ac:dyDescent="0.25">
      <c r="B11" s="252" t="s">
        <v>232</v>
      </c>
      <c r="C11" s="258"/>
      <c r="D11" s="258"/>
      <c r="E11" s="258"/>
      <c r="F11" s="258"/>
      <c r="G11" s="258"/>
      <c r="H11" s="258"/>
      <c r="I11" s="258"/>
      <c r="J11" s="258"/>
      <c r="K11" s="258"/>
      <c r="L11" s="258"/>
      <c r="M11" s="258"/>
      <c r="N11" s="258"/>
    </row>
    <row r="12" spans="2:14" ht="18" customHeight="1" x14ac:dyDescent="0.25">
      <c r="B12" s="258"/>
      <c r="C12" s="258"/>
      <c r="D12" s="258"/>
      <c r="E12" s="258"/>
      <c r="F12" s="258"/>
      <c r="G12" s="258"/>
      <c r="H12" s="258"/>
      <c r="I12" s="258"/>
      <c r="J12" s="258"/>
      <c r="K12" s="258"/>
      <c r="L12" s="258"/>
      <c r="M12" s="258"/>
      <c r="N12" s="258"/>
    </row>
    <row r="13" spans="2:14" ht="17.25" customHeight="1" x14ac:dyDescent="0.25">
      <c r="B13" s="258"/>
      <c r="C13" s="258"/>
      <c r="D13" s="258"/>
      <c r="E13" s="258"/>
      <c r="F13" s="258"/>
      <c r="G13" s="258"/>
      <c r="H13" s="258"/>
      <c r="I13" s="258"/>
      <c r="J13" s="258"/>
      <c r="K13" s="258"/>
      <c r="L13" s="258"/>
      <c r="M13" s="258"/>
      <c r="N13" s="258"/>
    </row>
    <row r="14" spans="2:14" ht="17.25" customHeight="1" thickBot="1" x14ac:dyDescent="0.3">
      <c r="B14" s="258"/>
      <c r="C14" s="258"/>
      <c r="D14" s="258"/>
      <c r="E14" s="258"/>
      <c r="F14" s="258"/>
      <c r="G14" s="258"/>
      <c r="H14" s="258"/>
      <c r="I14" s="258"/>
      <c r="J14" s="258"/>
      <c r="K14" s="258"/>
      <c r="L14" s="258"/>
      <c r="M14" s="258"/>
      <c r="N14" s="258"/>
    </row>
    <row r="15" spans="2:14" x14ac:dyDescent="0.25">
      <c r="K15" s="243" t="s">
        <v>6</v>
      </c>
      <c r="L15" s="5" t="s">
        <v>20</v>
      </c>
      <c r="M15" s="251" t="s">
        <v>231</v>
      </c>
      <c r="N15" s="251"/>
    </row>
    <row r="16" spans="2:14" ht="19.5" thickBot="1" x14ac:dyDescent="0.35">
      <c r="B16" s="41" t="s">
        <v>4</v>
      </c>
      <c r="K16" s="244"/>
      <c r="L16" s="105">
        <v>650</v>
      </c>
      <c r="M16" s="105">
        <v>65</v>
      </c>
    </row>
    <row r="17" spans="3:13" ht="15.75" thickBot="1" x14ac:dyDescent="0.3">
      <c r="E17" s="15" t="s">
        <v>14</v>
      </c>
      <c r="F17" s="5">
        <v>6</v>
      </c>
      <c r="G17" s="3" t="s">
        <v>15</v>
      </c>
      <c r="L17" s="1"/>
    </row>
    <row r="18" spans="3:13" x14ac:dyDescent="0.25">
      <c r="C18" s="245" t="s">
        <v>10</v>
      </c>
      <c r="D18" s="246"/>
      <c r="G18" s="259" t="s">
        <v>5</v>
      </c>
      <c r="H18" s="260"/>
      <c r="K18" s="243" t="s">
        <v>7</v>
      </c>
      <c r="L18" s="1"/>
    </row>
    <row r="19" spans="3:13" ht="15.75" thickBot="1" x14ac:dyDescent="0.3">
      <c r="C19" s="247"/>
      <c r="D19" s="248"/>
      <c r="G19" s="261"/>
      <c r="H19" s="262"/>
      <c r="K19" s="244"/>
      <c r="L19" s="105">
        <v>430</v>
      </c>
      <c r="M19" s="105">
        <v>42</v>
      </c>
    </row>
    <row r="20" spans="3:13" ht="15.75" thickBot="1" x14ac:dyDescent="0.3">
      <c r="C20" s="249"/>
      <c r="D20" s="250"/>
      <c r="G20" s="263"/>
      <c r="H20" s="264"/>
      <c r="L20" s="1"/>
    </row>
    <row r="21" spans="3:13" x14ac:dyDescent="0.25">
      <c r="K21" s="243" t="s">
        <v>8</v>
      </c>
      <c r="L21" s="1"/>
    </row>
    <row r="22" spans="3:13" ht="15.75" thickBot="1" x14ac:dyDescent="0.3">
      <c r="C22" s="3" t="s">
        <v>18</v>
      </c>
      <c r="D22" s="3"/>
      <c r="E22" s="3"/>
      <c r="F22" s="5">
        <v>4000</v>
      </c>
      <c r="G22" s="106" t="s">
        <v>11</v>
      </c>
      <c r="H22" s="107">
        <v>40</v>
      </c>
      <c r="K22" s="244"/>
      <c r="L22" s="105">
        <v>920</v>
      </c>
      <c r="M22" s="105">
        <v>70</v>
      </c>
    </row>
    <row r="23" spans="3:13" ht="15.75" thickBot="1" x14ac:dyDescent="0.3">
      <c r="G23" s="106" t="s">
        <v>12</v>
      </c>
      <c r="H23" s="107">
        <v>0.2</v>
      </c>
      <c r="L23" s="1"/>
    </row>
    <row r="24" spans="3:13" x14ac:dyDescent="0.25">
      <c r="G24" s="106" t="s">
        <v>13</v>
      </c>
      <c r="H24" s="107">
        <v>200</v>
      </c>
      <c r="K24" s="243" t="s">
        <v>9</v>
      </c>
      <c r="L24" s="1"/>
    </row>
    <row r="25" spans="3:13" ht="15.75" thickBot="1" x14ac:dyDescent="0.3">
      <c r="G25" s="106" t="s">
        <v>17</v>
      </c>
      <c r="H25" s="107">
        <v>1.65</v>
      </c>
      <c r="K25" s="244"/>
      <c r="L25" s="105">
        <v>1020</v>
      </c>
      <c r="M25" s="105">
        <v>95</v>
      </c>
    </row>
    <row r="27" spans="3:13" x14ac:dyDescent="0.25">
      <c r="C27" s="3" t="s">
        <v>19</v>
      </c>
      <c r="K27" s="1" t="s">
        <v>16</v>
      </c>
    </row>
    <row r="29" spans="3:13" ht="18.75" x14ac:dyDescent="0.3">
      <c r="C29" s="108" t="s">
        <v>49</v>
      </c>
      <c r="D29" s="109">
        <f>SQRT((2*L29*12*H24)/(H22*H23))</f>
        <v>1346.1054936371072</v>
      </c>
      <c r="E29" s="31" t="s">
        <v>50</v>
      </c>
      <c r="K29" s="15" t="s">
        <v>22</v>
      </c>
      <c r="L29" s="5">
        <f>SUM(L16:L28)</f>
        <v>3020</v>
      </c>
    </row>
    <row r="30" spans="3:13" ht="18.75" x14ac:dyDescent="0.3">
      <c r="K30" s="26" t="s">
        <v>51</v>
      </c>
      <c r="L30" s="109">
        <f>L29*12</f>
        <v>36240</v>
      </c>
      <c r="M30" t="s">
        <v>50</v>
      </c>
    </row>
    <row r="32" spans="3:13" x14ac:dyDescent="0.25">
      <c r="C32" s="3" t="s">
        <v>52</v>
      </c>
      <c r="D32" s="127">
        <f>SQRT(SUMSQ(M16,M19,M22,M25))</f>
        <v>141.11697275664611</v>
      </c>
      <c r="E32" s="3" t="s">
        <v>50</v>
      </c>
      <c r="F32" t="s">
        <v>53</v>
      </c>
    </row>
    <row r="33" spans="2:15" x14ac:dyDescent="0.25">
      <c r="F33" t="s">
        <v>54</v>
      </c>
    </row>
    <row r="35" spans="2:15" x14ac:dyDescent="0.25">
      <c r="C35" s="15" t="s">
        <v>55</v>
      </c>
      <c r="D35" s="20">
        <f>D32*SQRT(6/4)</f>
        <v>172.83228865000891</v>
      </c>
      <c r="E35" s="3" t="s">
        <v>50</v>
      </c>
    </row>
    <row r="36" spans="2:15" x14ac:dyDescent="0.25">
      <c r="C36" s="15"/>
      <c r="D36" s="20"/>
      <c r="E36" s="3"/>
    </row>
    <row r="38" spans="2:15" ht="15.75" x14ac:dyDescent="0.25">
      <c r="C38" s="17" t="s">
        <v>56</v>
      </c>
      <c r="D38" s="18">
        <f>H25*D35</f>
        <v>285.17327627251467</v>
      </c>
      <c r="E38" s="19" t="s">
        <v>50</v>
      </c>
      <c r="G38" s="19" t="s">
        <v>57</v>
      </c>
      <c r="H38" s="18">
        <f>(D29/2)+D38</f>
        <v>958.22602309106833</v>
      </c>
      <c r="I38" s="19" t="s">
        <v>50</v>
      </c>
    </row>
    <row r="40" spans="2:15" ht="18.75" x14ac:dyDescent="0.3">
      <c r="B40" s="19"/>
      <c r="C40" s="23" t="s">
        <v>58</v>
      </c>
      <c r="D40" s="18">
        <f>D38+D29</f>
        <v>1631.2787699096218</v>
      </c>
      <c r="E40" s="19" t="s">
        <v>50</v>
      </c>
      <c r="G40" s="15" t="s">
        <v>59</v>
      </c>
      <c r="H40" s="3">
        <f>D29/L30</f>
        <v>3.7144191325527244E-2</v>
      </c>
      <c r="I40" s="3" t="s">
        <v>60</v>
      </c>
      <c r="J40" s="26" t="s">
        <v>59</v>
      </c>
      <c r="K40" s="128">
        <f>H40*360</f>
        <v>13.371908877189808</v>
      </c>
      <c r="L40" s="31" t="s">
        <v>61</v>
      </c>
    </row>
    <row r="42" spans="2:15" ht="15.75" x14ac:dyDescent="0.25">
      <c r="C42" s="23" t="s">
        <v>77</v>
      </c>
      <c r="D42" s="18">
        <f>(L29/4)*F17+D38</f>
        <v>4815.1732762725151</v>
      </c>
      <c r="E42" s="19" t="s">
        <v>50</v>
      </c>
    </row>
    <row r="43" spans="2:15" x14ac:dyDescent="0.25">
      <c r="D43" t="s">
        <v>54</v>
      </c>
    </row>
    <row r="44" spans="2:15" x14ac:dyDescent="0.25">
      <c r="B44" s="39" t="s">
        <v>78</v>
      </c>
      <c r="C44" s="40"/>
      <c r="D44" s="40"/>
      <c r="E44" s="37" t="s">
        <v>233</v>
      </c>
      <c r="F44" s="38"/>
      <c r="G44" s="38"/>
      <c r="H44" s="38"/>
      <c r="I44" s="38"/>
      <c r="J44" s="38"/>
      <c r="K44" s="38"/>
      <c r="L44" s="38"/>
      <c r="M44" s="38"/>
      <c r="N44" s="38"/>
      <c r="O44" s="38"/>
    </row>
    <row r="45" spans="2:15" x14ac:dyDescent="0.25">
      <c r="E45" s="37" t="s">
        <v>234</v>
      </c>
      <c r="F45" s="38"/>
      <c r="G45" s="38"/>
      <c r="H45" s="38"/>
      <c r="I45" s="38"/>
      <c r="J45" s="38"/>
      <c r="K45" s="38"/>
      <c r="L45" s="38"/>
      <c r="M45" s="38"/>
      <c r="N45" s="38"/>
      <c r="O45" s="38"/>
    </row>
    <row r="46" spans="2:15" x14ac:dyDescent="0.25">
      <c r="E46" s="37" t="s">
        <v>79</v>
      </c>
      <c r="F46" s="38"/>
      <c r="G46" s="38"/>
      <c r="H46" s="38"/>
      <c r="I46" s="38"/>
      <c r="J46" s="38"/>
      <c r="K46" s="38"/>
      <c r="L46" s="38"/>
      <c r="M46" s="38"/>
      <c r="N46" s="38"/>
      <c r="O46" s="38"/>
    </row>
    <row r="47" spans="2:15" x14ac:dyDescent="0.25">
      <c r="E47" s="37" t="s">
        <v>235</v>
      </c>
      <c r="F47" s="38"/>
      <c r="G47" s="38"/>
      <c r="H47" s="38"/>
      <c r="I47" s="38"/>
      <c r="J47" s="38"/>
      <c r="K47" s="38"/>
      <c r="L47" s="38"/>
      <c r="M47" s="38"/>
      <c r="N47" s="38"/>
      <c r="O47" s="38"/>
    </row>
    <row r="48" spans="2:15" x14ac:dyDescent="0.25">
      <c r="E48" s="37" t="s">
        <v>236</v>
      </c>
      <c r="F48" s="38"/>
      <c r="G48" s="38"/>
      <c r="H48" s="38"/>
      <c r="I48" s="38"/>
      <c r="J48" s="38"/>
      <c r="K48" s="38"/>
      <c r="L48" s="38"/>
      <c r="M48" s="38"/>
      <c r="N48" s="38"/>
      <c r="O48" s="38"/>
    </row>
    <row r="50" spans="2:15" ht="21" x14ac:dyDescent="0.35">
      <c r="C50" s="25" t="s">
        <v>62</v>
      </c>
    </row>
    <row r="52" spans="2:15" ht="18.75" x14ac:dyDescent="0.3">
      <c r="B52" s="12"/>
      <c r="C52" s="26" t="s">
        <v>63</v>
      </c>
      <c r="D52" s="27">
        <f>(L30/D29)*H24</f>
        <v>5384.4219745484288</v>
      </c>
      <c r="F52" s="35" t="s">
        <v>49</v>
      </c>
      <c r="G52" s="35">
        <v>4000</v>
      </c>
      <c r="H52" t="s">
        <v>323</v>
      </c>
    </row>
    <row r="54" spans="2:15" ht="18.75" x14ac:dyDescent="0.3">
      <c r="B54" s="12"/>
      <c r="C54" s="26" t="s">
        <v>64</v>
      </c>
      <c r="D54" s="27">
        <f>H38*H22*H23</f>
        <v>7665.8081847285475</v>
      </c>
    </row>
    <row r="56" spans="2:15" ht="18.75" x14ac:dyDescent="0.3">
      <c r="C56" s="26" t="s">
        <v>65</v>
      </c>
      <c r="D56" s="27">
        <f>D52+D54</f>
        <v>13050.230159276976</v>
      </c>
      <c r="G56" t="s">
        <v>324</v>
      </c>
      <c r="H56" t="s">
        <v>325</v>
      </c>
    </row>
    <row r="58" spans="2:15" x14ac:dyDescent="0.25">
      <c r="B58" s="37" t="s">
        <v>80</v>
      </c>
      <c r="C58" s="38"/>
      <c r="D58" s="38"/>
      <c r="E58" s="38"/>
      <c r="F58" s="38"/>
      <c r="G58" s="38"/>
      <c r="H58" s="38"/>
      <c r="I58" s="38"/>
      <c r="J58" s="38"/>
      <c r="K58" s="38"/>
      <c r="L58" s="38"/>
      <c r="M58" s="38"/>
      <c r="N58" s="38"/>
      <c r="O58" s="38"/>
    </row>
  </sheetData>
  <mergeCells count="12">
    <mergeCell ref="K21:K22"/>
    <mergeCell ref="K24:K25"/>
    <mergeCell ref="C18:D20"/>
    <mergeCell ref="M15:N15"/>
    <mergeCell ref="B1:N3"/>
    <mergeCell ref="C10:D10"/>
    <mergeCell ref="D5:F5"/>
    <mergeCell ref="G5:I5"/>
    <mergeCell ref="B11:N14"/>
    <mergeCell ref="G18:H20"/>
    <mergeCell ref="K15:K16"/>
    <mergeCell ref="K18:K1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4E97-07C5-4E97-AE2B-8EAAB25724D8}">
  <dimension ref="B1:N41"/>
  <sheetViews>
    <sheetView zoomScaleNormal="100" workbookViewId="0">
      <selection activeCell="F33" sqref="F33"/>
    </sheetView>
  </sheetViews>
  <sheetFormatPr baseColWidth="10" defaultRowHeight="15" x14ac:dyDescent="0.25"/>
  <cols>
    <col min="1" max="1" width="7.5703125" customWidth="1"/>
    <col min="5" max="5" width="13.7109375" bestFit="1" customWidth="1"/>
  </cols>
  <sheetData>
    <row r="1" spans="2:14" x14ac:dyDescent="0.25">
      <c r="B1" s="271" t="s">
        <v>36</v>
      </c>
      <c r="C1" s="271"/>
      <c r="D1" s="271"/>
      <c r="E1" s="271"/>
      <c r="F1" s="271"/>
      <c r="G1" s="271"/>
      <c r="H1" s="271"/>
      <c r="I1" s="271"/>
      <c r="J1" s="271"/>
      <c r="K1" s="271"/>
      <c r="L1" s="271"/>
      <c r="M1" s="271"/>
      <c r="N1" s="271"/>
    </row>
    <row r="2" spans="2:14" x14ac:dyDescent="0.25">
      <c r="B2" s="271"/>
      <c r="C2" s="271"/>
      <c r="D2" s="271"/>
      <c r="E2" s="271"/>
      <c r="F2" s="271"/>
      <c r="G2" s="271"/>
      <c r="H2" s="271"/>
      <c r="I2" s="271"/>
      <c r="J2" s="271"/>
      <c r="K2" s="271"/>
      <c r="L2" s="271"/>
      <c r="M2" s="271"/>
      <c r="N2" s="271"/>
    </row>
    <row r="3" spans="2:14" x14ac:dyDescent="0.25">
      <c r="B3" s="292" t="s">
        <v>37</v>
      </c>
      <c r="C3" s="292"/>
      <c r="D3" s="292"/>
      <c r="E3" s="292"/>
      <c r="F3" s="292"/>
      <c r="G3" s="292"/>
      <c r="H3" s="292"/>
      <c r="I3" s="292"/>
      <c r="J3" s="292"/>
      <c r="K3" s="8">
        <v>900</v>
      </c>
    </row>
    <row r="4" spans="2:14" x14ac:dyDescent="0.25">
      <c r="B4" s="292" t="s">
        <v>38</v>
      </c>
      <c r="C4" s="292"/>
      <c r="D4" s="292"/>
      <c r="E4" s="292"/>
      <c r="F4" s="292"/>
      <c r="G4" s="292"/>
      <c r="H4" s="292"/>
      <c r="I4" s="292"/>
      <c r="J4" s="292"/>
      <c r="K4" s="8">
        <v>80</v>
      </c>
    </row>
    <row r="5" spans="2:14" x14ac:dyDescent="0.25">
      <c r="B5" s="292" t="s">
        <v>39</v>
      </c>
      <c r="C5" s="292"/>
      <c r="D5" s="292"/>
      <c r="E5" s="292"/>
      <c r="F5" s="292"/>
      <c r="G5" s="292"/>
      <c r="H5" s="292"/>
      <c r="I5" s="292"/>
      <c r="J5" s="292"/>
      <c r="K5" s="8">
        <v>6</v>
      </c>
    </row>
    <row r="6" spans="2:14" x14ac:dyDescent="0.25">
      <c r="B6" s="292" t="s">
        <v>40</v>
      </c>
      <c r="C6" s="292"/>
      <c r="D6" s="292"/>
      <c r="E6" s="292"/>
      <c r="F6" s="292"/>
      <c r="G6" s="292"/>
      <c r="H6" s="292"/>
      <c r="I6" s="292"/>
      <c r="J6" s="292"/>
      <c r="K6" s="8">
        <v>2</v>
      </c>
    </row>
    <row r="7" spans="2:14" x14ac:dyDescent="0.25">
      <c r="B7" s="288" t="s">
        <v>41</v>
      </c>
      <c r="C7" s="288"/>
      <c r="D7" s="288"/>
      <c r="E7" s="288"/>
      <c r="F7" s="288"/>
      <c r="G7" s="288"/>
      <c r="H7" s="288"/>
      <c r="I7" s="288"/>
      <c r="J7" s="288"/>
      <c r="K7" s="8">
        <v>13</v>
      </c>
    </row>
    <row r="8" spans="2:14" x14ac:dyDescent="0.25">
      <c r="B8" s="288" t="s">
        <v>42</v>
      </c>
      <c r="C8" s="288"/>
      <c r="D8" s="288"/>
      <c r="E8" s="288"/>
      <c r="F8" s="288"/>
      <c r="G8" s="288"/>
      <c r="H8" s="288"/>
      <c r="I8" s="288"/>
      <c r="J8" s="288"/>
      <c r="K8" s="9">
        <v>0.95</v>
      </c>
    </row>
    <row r="9" spans="2:14" x14ac:dyDescent="0.25">
      <c r="B9" s="288" t="s">
        <v>43</v>
      </c>
      <c r="C9" s="288"/>
      <c r="D9" s="288"/>
      <c r="E9" s="288"/>
      <c r="F9" s="288"/>
      <c r="G9" s="288"/>
      <c r="H9" s="288"/>
      <c r="I9" s="288"/>
      <c r="J9" s="288"/>
      <c r="K9" s="8">
        <v>1</v>
      </c>
    </row>
    <row r="10" spans="2:14" x14ac:dyDescent="0.25">
      <c r="B10" s="288" t="s">
        <v>44</v>
      </c>
      <c r="C10" s="288"/>
      <c r="D10" s="288"/>
      <c r="E10" s="288"/>
      <c r="F10" s="288"/>
      <c r="G10" s="288"/>
      <c r="H10" s="288"/>
      <c r="I10" s="288"/>
      <c r="J10" s="288"/>
      <c r="K10" s="9">
        <v>0.3</v>
      </c>
    </row>
    <row r="11" spans="2:14" x14ac:dyDescent="0.25">
      <c r="B11" s="288" t="s">
        <v>45</v>
      </c>
      <c r="C11" s="288"/>
      <c r="D11" s="288"/>
      <c r="E11" s="288"/>
      <c r="F11" s="288"/>
      <c r="G11" s="288"/>
      <c r="H11" s="288"/>
      <c r="I11" s="288"/>
      <c r="J11" s="288"/>
      <c r="K11" s="8">
        <v>20</v>
      </c>
    </row>
    <row r="13" spans="2:14" x14ac:dyDescent="0.25">
      <c r="B13" s="10" t="s">
        <v>46</v>
      </c>
    </row>
    <row r="15" spans="2:14" ht="15.75" x14ac:dyDescent="0.25">
      <c r="B15" s="19" t="s">
        <v>47</v>
      </c>
      <c r="C15" s="49"/>
      <c r="D15" s="49"/>
      <c r="E15" s="49"/>
      <c r="F15" s="49"/>
      <c r="G15" s="49"/>
      <c r="H15" s="49"/>
      <c r="I15" s="49"/>
      <c r="J15" s="49"/>
    </row>
    <row r="16" spans="2:14" ht="15.75" x14ac:dyDescent="0.25">
      <c r="B16" s="19" t="s">
        <v>48</v>
      </c>
      <c r="C16" s="49"/>
      <c r="D16" s="49"/>
      <c r="E16" s="49"/>
      <c r="F16" s="49"/>
      <c r="G16" s="49"/>
      <c r="H16" s="49"/>
      <c r="I16" s="49"/>
      <c r="J16" s="49"/>
    </row>
    <row r="18" spans="2:13" ht="18.75" x14ac:dyDescent="0.3">
      <c r="B18" s="41" t="s">
        <v>4</v>
      </c>
    </row>
    <row r="19" spans="2:13" ht="18.75" x14ac:dyDescent="0.3">
      <c r="B19" s="29" t="s">
        <v>71</v>
      </c>
      <c r="C19" s="32">
        <f>K3*365</f>
        <v>328500</v>
      </c>
      <c r="D19" s="3" t="s">
        <v>75</v>
      </c>
      <c r="E19" s="26" t="s">
        <v>49</v>
      </c>
      <c r="F19" s="58">
        <f>SQRT((2*C19*C20)/(C21*C22))</f>
        <v>1835.546449761152</v>
      </c>
      <c r="G19" s="11" t="s">
        <v>75</v>
      </c>
    </row>
    <row r="20" spans="2:13" ht="18.75" x14ac:dyDescent="0.3">
      <c r="B20" s="29" t="s">
        <v>13</v>
      </c>
      <c r="C20" s="32">
        <f>K11</f>
        <v>20</v>
      </c>
    </row>
    <row r="21" spans="2:13" ht="18.75" x14ac:dyDescent="0.3">
      <c r="B21" s="29" t="s">
        <v>12</v>
      </c>
      <c r="C21" s="57">
        <f>K10</f>
        <v>0.3</v>
      </c>
      <c r="E21" s="26" t="s">
        <v>59</v>
      </c>
      <c r="F21" s="59">
        <f>(F19/C19)*365</f>
        <v>2.0394960552901686</v>
      </c>
      <c r="G21" s="11" t="s">
        <v>61</v>
      </c>
    </row>
    <row r="22" spans="2:13" ht="18.75" x14ac:dyDescent="0.3">
      <c r="B22" s="29" t="s">
        <v>11</v>
      </c>
      <c r="C22" s="32">
        <f>K7</f>
        <v>13</v>
      </c>
    </row>
    <row r="23" spans="2:13" ht="15.75" thickBot="1" x14ac:dyDescent="0.3"/>
    <row r="24" spans="2:13" ht="15.75" x14ac:dyDescent="0.25">
      <c r="B24" s="42" t="s">
        <v>81</v>
      </c>
      <c r="F24" s="305" t="s">
        <v>98</v>
      </c>
      <c r="I24" s="4" t="s">
        <v>100</v>
      </c>
    </row>
    <row r="25" spans="2:13" ht="15.75" thickBot="1" x14ac:dyDescent="0.3">
      <c r="F25" s="306"/>
      <c r="H25">
        <v>80</v>
      </c>
      <c r="I25" t="s">
        <v>99</v>
      </c>
    </row>
    <row r="26" spans="2:13" x14ac:dyDescent="0.25">
      <c r="D26" s="4" t="s">
        <v>14</v>
      </c>
      <c r="E26" s="1">
        <v>6</v>
      </c>
      <c r="F26" t="s">
        <v>61</v>
      </c>
    </row>
    <row r="27" spans="2:13" x14ac:dyDescent="0.25">
      <c r="D27" t="s">
        <v>83</v>
      </c>
      <c r="E27" s="1">
        <v>2</v>
      </c>
      <c r="F27" t="s">
        <v>61</v>
      </c>
      <c r="L27" s="307" t="s">
        <v>106</v>
      </c>
      <c r="M27" s="307"/>
    </row>
    <row r="28" spans="2:13" x14ac:dyDescent="0.25">
      <c r="E28" s="4" t="s">
        <v>89</v>
      </c>
      <c r="F28" s="1">
        <v>1.65</v>
      </c>
      <c r="L28" s="307"/>
      <c r="M28" s="307"/>
    </row>
    <row r="29" spans="2:13" x14ac:dyDescent="0.25">
      <c r="E29" s="15" t="s">
        <v>96</v>
      </c>
      <c r="F29" s="60">
        <f>SQRT(POWER(K3*E27,2)+POWER(H25*SQRT(E26+F21),2))</f>
        <v>1814.2361408465704</v>
      </c>
      <c r="G29" s="3" t="s">
        <v>75</v>
      </c>
      <c r="L29" s="307"/>
      <c r="M29" s="307"/>
    </row>
    <row r="30" spans="2:13" x14ac:dyDescent="0.25">
      <c r="F30" s="4"/>
      <c r="L30" s="307"/>
      <c r="M30" s="307"/>
    </row>
    <row r="31" spans="2:13" ht="18.75" x14ac:dyDescent="0.3">
      <c r="C31">
        <v>2978.23</v>
      </c>
      <c r="E31" s="26" t="s">
        <v>56</v>
      </c>
      <c r="F31" s="219">
        <f>F28*F29</f>
        <v>2993.489632396841</v>
      </c>
      <c r="G31" s="11" t="s">
        <v>75</v>
      </c>
      <c r="L31" s="307"/>
      <c r="M31" s="307"/>
    </row>
    <row r="32" spans="2:13" ht="18.75" x14ac:dyDescent="0.3">
      <c r="E32" s="29"/>
      <c r="F32" s="32"/>
      <c r="G32" s="3"/>
    </row>
    <row r="33" spans="2:7" ht="18.75" x14ac:dyDescent="0.3">
      <c r="D33" s="12"/>
      <c r="E33" s="26" t="s">
        <v>57</v>
      </c>
      <c r="F33" s="219">
        <f>((K3*F21)/2)+F31</f>
        <v>3911.262857277417</v>
      </c>
      <c r="G33" s="11" t="s">
        <v>75</v>
      </c>
    </row>
    <row r="34" spans="2:7" ht="18.75" x14ac:dyDescent="0.3">
      <c r="B34" s="42" t="s">
        <v>105</v>
      </c>
      <c r="E34" s="29"/>
      <c r="F34" s="32"/>
      <c r="G34" s="3"/>
    </row>
    <row r="35" spans="2:7" x14ac:dyDescent="0.25">
      <c r="F35" s="4"/>
    </row>
    <row r="36" spans="2:7" x14ac:dyDescent="0.25">
      <c r="D36" t="s">
        <v>102</v>
      </c>
    </row>
    <row r="37" spans="2:7" ht="18.75" x14ac:dyDescent="0.3">
      <c r="D37" s="26" t="s">
        <v>101</v>
      </c>
      <c r="E37" s="58">
        <f>K3*(E26+2.04)+F31</f>
        <v>10229.489632396841</v>
      </c>
      <c r="F37" s="11" t="s">
        <v>75</v>
      </c>
    </row>
    <row r="39" spans="2:7" ht="15.75" x14ac:dyDescent="0.25">
      <c r="B39" s="42" t="s">
        <v>103</v>
      </c>
    </row>
    <row r="41" spans="2:7" ht="18.75" x14ac:dyDescent="0.3">
      <c r="C41" s="12"/>
      <c r="D41" s="26" t="s">
        <v>104</v>
      </c>
      <c r="E41" s="61">
        <f>(C19/F19)*F29*K9*0.0206</f>
        <v>6688.5353897311452</v>
      </c>
    </row>
  </sheetData>
  <mergeCells count="12">
    <mergeCell ref="B7:J7"/>
    <mergeCell ref="B1:N2"/>
    <mergeCell ref="B3:J3"/>
    <mergeCell ref="B4:J4"/>
    <mergeCell ref="B5:J5"/>
    <mergeCell ref="B6:J6"/>
    <mergeCell ref="F24:F25"/>
    <mergeCell ref="L27:M31"/>
    <mergeCell ref="B8:J8"/>
    <mergeCell ref="B9:J9"/>
    <mergeCell ref="B10:J10"/>
    <mergeCell ref="B11:J11"/>
  </mergeCells>
  <pageMargins left="0.7" right="0.7" top="0.75" bottom="0.75" header="0.3" footer="0.3"/>
  <pageSetup orientation="portrait"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C21F7-D539-479A-BB2C-52B77FD112D4}">
  <dimension ref="B1:O30"/>
  <sheetViews>
    <sheetView topLeftCell="A2" zoomScale="110" zoomScaleNormal="110" workbookViewId="0">
      <selection activeCell="L18" sqref="L18"/>
    </sheetView>
  </sheetViews>
  <sheetFormatPr baseColWidth="10" defaultRowHeight="15" x14ac:dyDescent="0.25"/>
  <cols>
    <col min="1" max="1" width="9.140625" customWidth="1"/>
    <col min="11" max="11" width="11.42578125" customWidth="1"/>
    <col min="12" max="12" width="11.5703125" customWidth="1"/>
  </cols>
  <sheetData>
    <row r="1" spans="2:15" ht="15" customHeight="1" x14ac:dyDescent="0.25">
      <c r="B1" s="271" t="s">
        <v>344</v>
      </c>
      <c r="C1" s="271"/>
      <c r="D1" s="271"/>
      <c r="E1" s="271"/>
      <c r="F1" s="271"/>
      <c r="G1" s="271"/>
      <c r="H1" s="271"/>
      <c r="I1" s="271"/>
      <c r="J1" s="271"/>
      <c r="K1" s="271"/>
      <c r="L1" s="271"/>
      <c r="M1" s="271"/>
      <c r="N1" s="271"/>
      <c r="O1" s="86"/>
    </row>
    <row r="2" spans="2:15" x14ac:dyDescent="0.25">
      <c r="B2" s="271"/>
      <c r="C2" s="271"/>
      <c r="D2" s="271"/>
      <c r="E2" s="271"/>
      <c r="F2" s="271"/>
      <c r="G2" s="271"/>
      <c r="H2" s="271"/>
      <c r="I2" s="271"/>
      <c r="J2" s="271"/>
      <c r="K2" s="271"/>
      <c r="L2" s="271"/>
      <c r="M2" s="271"/>
      <c r="N2" s="271"/>
      <c r="O2" s="86"/>
    </row>
    <row r="3" spans="2:15" x14ac:dyDescent="0.25">
      <c r="B3" s="271"/>
      <c r="C3" s="271"/>
      <c r="D3" s="271"/>
      <c r="E3" s="271"/>
      <c r="F3" s="271"/>
      <c r="G3" s="271"/>
      <c r="H3" s="271"/>
      <c r="I3" s="271"/>
      <c r="J3" s="271"/>
      <c r="K3" s="271"/>
      <c r="L3" s="271"/>
      <c r="M3" s="271"/>
      <c r="N3" s="271"/>
      <c r="O3" s="86"/>
    </row>
    <row r="4" spans="2:15" x14ac:dyDescent="0.25">
      <c r="B4" s="271"/>
      <c r="C4" s="271"/>
      <c r="D4" s="271"/>
      <c r="E4" s="271"/>
      <c r="F4" s="271"/>
      <c r="G4" s="271"/>
      <c r="H4" s="271"/>
      <c r="I4" s="271"/>
      <c r="J4" s="271"/>
      <c r="K4" s="271"/>
      <c r="L4" s="271"/>
      <c r="M4" s="271"/>
      <c r="N4" s="271"/>
      <c r="O4" s="86"/>
    </row>
    <row r="5" spans="2:15" x14ac:dyDescent="0.25">
      <c r="B5" s="271"/>
      <c r="C5" s="271"/>
      <c r="D5" s="271"/>
      <c r="E5" s="271"/>
      <c r="F5" s="271"/>
      <c r="G5" s="271"/>
      <c r="H5" s="271"/>
      <c r="I5" s="271"/>
      <c r="J5" s="271"/>
      <c r="K5" s="271"/>
      <c r="L5" s="271"/>
      <c r="M5" s="271"/>
      <c r="N5" s="271"/>
      <c r="O5" s="86"/>
    </row>
    <row r="6" spans="2:15" x14ac:dyDescent="0.25">
      <c r="B6" s="271"/>
      <c r="C6" s="271"/>
      <c r="D6" s="271"/>
      <c r="E6" s="271"/>
      <c r="F6" s="271"/>
      <c r="G6" s="271"/>
      <c r="H6" s="271"/>
      <c r="I6" s="271"/>
      <c r="J6" s="271"/>
      <c r="K6" s="271"/>
      <c r="L6" s="271"/>
      <c r="M6" s="271"/>
      <c r="N6" s="271"/>
      <c r="O6" s="86"/>
    </row>
    <row r="7" spans="2:15" x14ac:dyDescent="0.25">
      <c r="B7" s="271"/>
      <c r="C7" s="271"/>
      <c r="D7" s="271"/>
      <c r="E7" s="271"/>
      <c r="F7" s="271"/>
      <c r="G7" s="271"/>
      <c r="H7" s="271"/>
      <c r="I7" s="271"/>
      <c r="J7" s="271"/>
      <c r="K7" s="271"/>
      <c r="L7" s="271"/>
      <c r="M7" s="271"/>
      <c r="N7" s="271"/>
      <c r="O7" s="86"/>
    </row>
    <row r="8" spans="2:15" x14ac:dyDescent="0.25">
      <c r="B8" s="271"/>
      <c r="C8" s="271"/>
      <c r="D8" s="271"/>
      <c r="E8" s="271"/>
      <c r="F8" s="271"/>
      <c r="G8" s="271"/>
      <c r="H8" s="271"/>
      <c r="I8" s="271"/>
      <c r="J8" s="271"/>
      <c r="K8" s="271"/>
      <c r="L8" s="271"/>
      <c r="M8" s="271"/>
      <c r="N8" s="271"/>
      <c r="O8" s="86"/>
    </row>
    <row r="9" spans="2:15" x14ac:dyDescent="0.25">
      <c r="B9" s="86"/>
      <c r="C9" s="86"/>
      <c r="D9" s="86"/>
      <c r="E9" s="86"/>
      <c r="F9" s="86"/>
      <c r="G9" s="86"/>
      <c r="H9" s="86"/>
      <c r="I9" s="86"/>
      <c r="J9" s="86"/>
      <c r="K9" s="86"/>
      <c r="L9" s="86"/>
      <c r="M9" s="86"/>
      <c r="N9" s="315" t="s">
        <v>339</v>
      </c>
      <c r="O9" s="315"/>
    </row>
    <row r="10" spans="2:15" ht="30" customHeight="1" x14ac:dyDescent="0.25">
      <c r="B10" s="205" t="s">
        <v>51</v>
      </c>
      <c r="C10" s="206">
        <f>12*N20</f>
        <v>789</v>
      </c>
      <c r="D10" s="86" t="s">
        <v>127</v>
      </c>
      <c r="E10" s="86"/>
      <c r="F10" s="86"/>
      <c r="G10" s="316" t="s">
        <v>372</v>
      </c>
      <c r="H10" s="316"/>
      <c r="I10" s="86"/>
      <c r="J10" s="86"/>
      <c r="K10" s="319" t="s">
        <v>375</v>
      </c>
      <c r="L10" s="319"/>
      <c r="M10" s="86"/>
      <c r="N10">
        <v>44</v>
      </c>
      <c r="O10" t="s">
        <v>127</v>
      </c>
    </row>
    <row r="11" spans="2:15" ht="24" thickBot="1" x14ac:dyDescent="0.4">
      <c r="B11" s="207" t="s">
        <v>13</v>
      </c>
      <c r="C11" s="208">
        <f>75</f>
        <v>75</v>
      </c>
      <c r="G11" s="317" t="s">
        <v>373</v>
      </c>
      <c r="H11" s="317"/>
      <c r="K11" s="318" t="s">
        <v>374</v>
      </c>
      <c r="L11" s="318"/>
      <c r="N11">
        <v>38</v>
      </c>
      <c r="O11" t="s">
        <v>127</v>
      </c>
    </row>
    <row r="12" spans="2:15" ht="15" customHeight="1" x14ac:dyDescent="0.25">
      <c r="B12" s="207" t="s">
        <v>12</v>
      </c>
      <c r="C12" s="208">
        <f>0.25</f>
        <v>0.25</v>
      </c>
      <c r="G12" s="245" t="s">
        <v>299</v>
      </c>
      <c r="H12" s="246"/>
      <c r="K12" s="308" t="s">
        <v>300</v>
      </c>
      <c r="L12" s="309"/>
      <c r="N12">
        <v>89</v>
      </c>
      <c r="O12" t="s">
        <v>127</v>
      </c>
    </row>
    <row r="13" spans="2:15" ht="15" customHeight="1" x14ac:dyDescent="0.25">
      <c r="B13" s="207" t="s">
        <v>11</v>
      </c>
      <c r="C13" s="208">
        <v>268</v>
      </c>
      <c r="G13" s="247"/>
      <c r="H13" s="248"/>
      <c r="K13" s="310"/>
      <c r="L13" s="311"/>
      <c r="N13">
        <v>142</v>
      </c>
      <c r="O13" t="s">
        <v>127</v>
      </c>
    </row>
    <row r="14" spans="2:15" ht="15.75" customHeight="1" thickBot="1" x14ac:dyDescent="0.3">
      <c r="B14" s="207" t="s">
        <v>281</v>
      </c>
      <c r="C14" s="208">
        <v>14</v>
      </c>
      <c r="G14" s="249"/>
      <c r="H14" s="250"/>
      <c r="K14" s="312"/>
      <c r="L14" s="313"/>
      <c r="N14">
        <v>37</v>
      </c>
      <c r="O14" t="s">
        <v>127</v>
      </c>
    </row>
    <row r="15" spans="2:15" ht="21" x14ac:dyDescent="0.35">
      <c r="B15" s="209" t="s">
        <v>283</v>
      </c>
      <c r="C15" s="210">
        <f>C13+C14</f>
        <v>282</v>
      </c>
      <c r="K15" s="238" t="s">
        <v>376</v>
      </c>
      <c r="L15" s="238">
        <v>282</v>
      </c>
      <c r="N15">
        <v>55</v>
      </c>
      <c r="O15" t="s">
        <v>127</v>
      </c>
    </row>
    <row r="16" spans="2:15" x14ac:dyDescent="0.25">
      <c r="I16" s="4" t="s">
        <v>14</v>
      </c>
      <c r="J16" s="1">
        <v>2</v>
      </c>
      <c r="K16" t="s">
        <v>61</v>
      </c>
      <c r="N16">
        <v>28</v>
      </c>
      <c r="O16" t="s">
        <v>127</v>
      </c>
    </row>
    <row r="17" spans="2:15" x14ac:dyDescent="0.25">
      <c r="B17" s="4" t="s">
        <v>49</v>
      </c>
      <c r="C17" s="93">
        <f>SQRT((2*C10*C11)/(C12*C15))</f>
        <v>40.972227230836737</v>
      </c>
      <c r="D17" t="s">
        <v>127</v>
      </c>
      <c r="E17">
        <f>SQRT((2*C10*C11)/(C13*C12))</f>
        <v>42.028774791180403</v>
      </c>
      <c r="I17" s="4" t="s">
        <v>83</v>
      </c>
      <c r="J17" s="1">
        <v>0.45</v>
      </c>
      <c r="K17" t="s">
        <v>61</v>
      </c>
      <c r="N17">
        <v>93</v>
      </c>
      <c r="O17" t="s">
        <v>127</v>
      </c>
    </row>
    <row r="18" spans="2:15" x14ac:dyDescent="0.25">
      <c r="B18" s="24" t="s">
        <v>49</v>
      </c>
      <c r="C18" s="161">
        <v>41</v>
      </c>
      <c r="D18" s="11" t="s">
        <v>127</v>
      </c>
      <c r="I18" s="4" t="s">
        <v>83</v>
      </c>
      <c r="J18" s="232">
        <f>J17*N20/30</f>
        <v>0.98625000000000007</v>
      </c>
    </row>
    <row r="20" spans="2:15" x14ac:dyDescent="0.25">
      <c r="B20" s="4" t="s">
        <v>56</v>
      </c>
      <c r="C20" s="93">
        <f>2.05*M23</f>
        <v>20.800064092722081</v>
      </c>
      <c r="D20" t="s">
        <v>127</v>
      </c>
      <c r="F20" t="s">
        <v>341</v>
      </c>
      <c r="M20" s="24" t="s">
        <v>301</v>
      </c>
      <c r="N20" s="11">
        <f>AVERAGE(N10:N17)</f>
        <v>65.75</v>
      </c>
      <c r="O20" s="11" t="s">
        <v>127</v>
      </c>
    </row>
    <row r="21" spans="2:15" x14ac:dyDescent="0.25">
      <c r="B21" s="24" t="s">
        <v>56</v>
      </c>
      <c r="C21" s="11">
        <v>21</v>
      </c>
      <c r="D21" s="11" t="s">
        <v>127</v>
      </c>
      <c r="G21" t="s">
        <v>302</v>
      </c>
      <c r="M21" s="24" t="s">
        <v>159</v>
      </c>
      <c r="N21" s="78">
        <f>STDEV(N10:N17)</f>
        <v>39.11064889698018</v>
      </c>
      <c r="O21" s="11" t="s">
        <v>127</v>
      </c>
    </row>
    <row r="22" spans="2:15" x14ac:dyDescent="0.25">
      <c r="F22" s="3"/>
      <c r="G22" t="s">
        <v>340</v>
      </c>
      <c r="H22" s="165"/>
      <c r="I22" s="3"/>
      <c r="N22" s="232">
        <f>N21*SQRT(2/30)</f>
        <v>10.098326122491313</v>
      </c>
    </row>
    <row r="23" spans="2:15" ht="15.75" x14ac:dyDescent="0.25">
      <c r="B23" s="24" t="s">
        <v>57</v>
      </c>
      <c r="C23" s="78">
        <f>(C18/2)+C21</f>
        <v>41.5</v>
      </c>
      <c r="D23" s="11" t="s">
        <v>127</v>
      </c>
      <c r="F23" s="314"/>
      <c r="G23" s="314"/>
      <c r="H23" s="314"/>
      <c r="I23" s="314"/>
      <c r="K23" s="19"/>
      <c r="L23" s="23" t="s">
        <v>134</v>
      </c>
      <c r="M23" s="69">
        <f>SQRT(POWER(N21*SQRT(2/30),2)+POWER((C10/360)*J17,2))</f>
        <v>10.146372728157115</v>
      </c>
      <c r="N23" s="11" t="s">
        <v>127</v>
      </c>
    </row>
    <row r="24" spans="2:15" x14ac:dyDescent="0.25">
      <c r="F24" s="165"/>
      <c r="G24" s="166" t="s">
        <v>303</v>
      </c>
      <c r="H24" s="167">
        <v>2.0499999999999998</v>
      </c>
      <c r="I24" s="165"/>
      <c r="M24">
        <f>SQRT(SUMSQ(J18,N22))</f>
        <v>10.146372728157115</v>
      </c>
    </row>
    <row r="25" spans="2:15" x14ac:dyDescent="0.25">
      <c r="B25" s="11" t="s">
        <v>77</v>
      </c>
      <c r="C25" s="78">
        <f>(C10/360)*J16+C21</f>
        <v>25.383333333333333</v>
      </c>
      <c r="D25" s="11" t="s">
        <v>127</v>
      </c>
      <c r="F25" s="165"/>
      <c r="G25" s="166" t="s">
        <v>139</v>
      </c>
      <c r="H25" s="167">
        <v>7.4000000000000003E-3</v>
      </c>
      <c r="I25" s="165"/>
    </row>
    <row r="26" spans="2:15" x14ac:dyDescent="0.25">
      <c r="F26" s="3"/>
      <c r="G26" s="165"/>
      <c r="H26" s="165"/>
      <c r="I26" s="3"/>
    </row>
    <row r="27" spans="2:15" x14ac:dyDescent="0.25">
      <c r="B27" s="12"/>
      <c r="C27" s="11"/>
      <c r="D27" s="24" t="s">
        <v>295</v>
      </c>
      <c r="E27" s="162">
        <f>(C10/C18)*C11</f>
        <v>1443.2926829268292</v>
      </c>
    </row>
    <row r="28" spans="2:15" x14ac:dyDescent="0.25">
      <c r="B28" s="12"/>
      <c r="C28" s="24"/>
      <c r="D28" s="24" t="s">
        <v>296</v>
      </c>
      <c r="E28" s="162">
        <f>C23*C15*C12</f>
        <v>2925.75</v>
      </c>
    </row>
    <row r="29" spans="2:15" x14ac:dyDescent="0.25">
      <c r="B29" s="52"/>
      <c r="C29" s="52"/>
      <c r="D29" s="163" t="s">
        <v>297</v>
      </c>
      <c r="E29" s="164">
        <f>(C10/C18)*M23*H24*H25</f>
        <v>2.9620305905309063</v>
      </c>
    </row>
    <row r="30" spans="2:15" x14ac:dyDescent="0.25">
      <c r="B30" s="12"/>
      <c r="C30" s="24"/>
      <c r="D30" s="24" t="s">
        <v>298</v>
      </c>
      <c r="E30" s="168">
        <f>SUM(E27:E29)</f>
        <v>4372.00471351736</v>
      </c>
    </row>
  </sheetData>
  <mergeCells count="9">
    <mergeCell ref="B1:N8"/>
    <mergeCell ref="G12:H14"/>
    <mergeCell ref="K12:L14"/>
    <mergeCell ref="F23:I23"/>
    <mergeCell ref="N9:O9"/>
    <mergeCell ref="G10:H10"/>
    <mergeCell ref="G11:H11"/>
    <mergeCell ref="K11:L11"/>
    <mergeCell ref="K10:L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C414-3018-4D88-8DF0-CA02B71F4C71}">
  <dimension ref="B1:O41"/>
  <sheetViews>
    <sheetView topLeftCell="A12" zoomScaleNormal="100" workbookViewId="0">
      <selection activeCell="G44" sqref="G44"/>
    </sheetView>
  </sheetViews>
  <sheetFormatPr baseColWidth="10" defaultRowHeight="15" x14ac:dyDescent="0.25"/>
  <cols>
    <col min="1" max="1" width="7.42578125" customWidth="1"/>
    <col min="7" max="7" width="12.85546875" customWidth="1"/>
    <col min="11" max="11" width="15.140625" bestFit="1" customWidth="1"/>
    <col min="12" max="12" width="13" customWidth="1"/>
  </cols>
  <sheetData>
    <row r="1" spans="2:15" ht="15" customHeight="1" x14ac:dyDescent="0.25">
      <c r="B1" s="271" t="s">
        <v>329</v>
      </c>
      <c r="C1" s="271"/>
      <c r="D1" s="271"/>
      <c r="E1" s="271"/>
      <c r="F1" s="271"/>
      <c r="G1" s="271"/>
      <c r="H1" s="271"/>
      <c r="I1" s="271"/>
      <c r="J1" s="271"/>
      <c r="K1" s="271"/>
      <c r="L1" s="271"/>
      <c r="M1" s="271"/>
      <c r="N1" s="271"/>
      <c r="O1" s="86"/>
    </row>
    <row r="2" spans="2:15" x14ac:dyDescent="0.25">
      <c r="B2" s="271"/>
      <c r="C2" s="271"/>
      <c r="D2" s="271"/>
      <c r="E2" s="271"/>
      <c r="F2" s="271"/>
      <c r="G2" s="271"/>
      <c r="H2" s="271"/>
      <c r="I2" s="271"/>
      <c r="J2" s="271"/>
      <c r="K2" s="271"/>
      <c r="L2" s="271"/>
      <c r="M2" s="271"/>
      <c r="N2" s="271"/>
      <c r="O2" s="86"/>
    </row>
    <row r="3" spans="2:15" x14ac:dyDescent="0.25">
      <c r="B3" s="271"/>
      <c r="C3" s="271"/>
      <c r="D3" s="271"/>
      <c r="E3" s="271"/>
      <c r="F3" s="271"/>
      <c r="G3" s="271"/>
      <c r="H3" s="271"/>
      <c r="I3" s="271"/>
      <c r="J3" s="271"/>
      <c r="K3" s="271"/>
      <c r="L3" s="271"/>
      <c r="M3" s="271"/>
      <c r="N3" s="271"/>
      <c r="O3" s="86"/>
    </row>
    <row r="4" spans="2:15" x14ac:dyDescent="0.25">
      <c r="B4" s="271"/>
      <c r="C4" s="271"/>
      <c r="D4" s="271"/>
      <c r="E4" s="271"/>
      <c r="F4" s="271"/>
      <c r="G4" s="271"/>
      <c r="H4" s="271"/>
      <c r="I4" s="271"/>
      <c r="J4" s="271"/>
      <c r="K4" s="271"/>
      <c r="L4" s="271"/>
      <c r="M4" s="271"/>
      <c r="N4" s="271"/>
      <c r="O4" s="86"/>
    </row>
    <row r="5" spans="2:15" x14ac:dyDescent="0.25">
      <c r="B5" s="271"/>
      <c r="C5" s="271"/>
      <c r="D5" s="271"/>
      <c r="E5" s="271"/>
      <c r="F5" s="271"/>
      <c r="G5" s="271"/>
      <c r="H5" s="271"/>
      <c r="I5" s="271"/>
      <c r="J5" s="271"/>
      <c r="K5" s="271"/>
      <c r="L5" s="271"/>
      <c r="M5" s="271"/>
      <c r="N5" s="271"/>
      <c r="O5" s="86"/>
    </row>
    <row r="6" spans="2:15" x14ac:dyDescent="0.25">
      <c r="B6" s="271"/>
      <c r="C6" s="271"/>
      <c r="D6" s="271"/>
      <c r="E6" s="271"/>
      <c r="F6" s="271"/>
      <c r="G6" s="271"/>
      <c r="H6" s="271"/>
      <c r="I6" s="271"/>
      <c r="J6" s="271"/>
      <c r="K6" s="271"/>
      <c r="L6" s="271"/>
      <c r="M6" s="271"/>
      <c r="N6" s="271"/>
      <c r="O6" s="86"/>
    </row>
    <row r="7" spans="2:15" x14ac:dyDescent="0.25">
      <c r="B7" s="271"/>
      <c r="C7" s="271"/>
      <c r="D7" s="271"/>
      <c r="E7" s="271"/>
      <c r="F7" s="271"/>
      <c r="G7" s="271"/>
      <c r="H7" s="271"/>
      <c r="I7" s="271"/>
      <c r="J7" s="271"/>
      <c r="K7" s="271"/>
      <c r="L7" s="271"/>
      <c r="M7" s="271"/>
      <c r="N7" s="271"/>
      <c r="O7" s="86"/>
    </row>
    <row r="8" spans="2:15" x14ac:dyDescent="0.25">
      <c r="B8" s="271"/>
      <c r="C8" s="271"/>
      <c r="D8" s="271"/>
      <c r="E8" s="271"/>
      <c r="F8" s="271"/>
      <c r="G8" s="271"/>
      <c r="H8" s="271"/>
      <c r="I8" s="271"/>
      <c r="J8" s="271"/>
      <c r="K8" s="271"/>
      <c r="L8" s="271"/>
      <c r="M8" s="271"/>
      <c r="N8" s="271"/>
      <c r="O8" s="86"/>
    </row>
    <row r="9" spans="2:15" x14ac:dyDescent="0.25">
      <c r="B9" s="271"/>
      <c r="C9" s="271"/>
      <c r="D9" s="271"/>
      <c r="E9" s="271"/>
      <c r="F9" s="271"/>
      <c r="G9" s="271"/>
      <c r="H9" s="271"/>
      <c r="I9" s="271"/>
      <c r="J9" s="271"/>
      <c r="K9" s="271"/>
      <c r="L9" s="271"/>
      <c r="M9" s="271"/>
      <c r="N9" s="271"/>
      <c r="O9" s="86"/>
    </row>
    <row r="10" spans="2:15" x14ac:dyDescent="0.25">
      <c r="B10" s="86"/>
      <c r="C10" s="86"/>
      <c r="D10" s="86"/>
      <c r="E10" s="86"/>
      <c r="F10" s="86"/>
      <c r="G10" s="86"/>
      <c r="H10" s="86"/>
      <c r="I10" s="86"/>
      <c r="J10" s="86"/>
      <c r="K10" s="86"/>
      <c r="L10" s="86"/>
      <c r="M10" s="86"/>
      <c r="N10" s="86"/>
      <c r="O10" s="86"/>
    </row>
    <row r="11" spans="2:15" ht="15.75" thickBot="1" x14ac:dyDescent="0.3">
      <c r="B11" s="86"/>
      <c r="C11" s="86"/>
      <c r="D11" s="86"/>
      <c r="E11" s="138" t="s">
        <v>14</v>
      </c>
      <c r="F11" s="139">
        <v>15</v>
      </c>
      <c r="G11" s="86" t="s">
        <v>61</v>
      </c>
      <c r="H11" s="86"/>
      <c r="I11" s="86"/>
      <c r="J11" s="138" t="s">
        <v>259</v>
      </c>
      <c r="K11" s="185">
        <v>800</v>
      </c>
      <c r="M11" s="86"/>
      <c r="N11" s="86"/>
      <c r="O11" s="86"/>
    </row>
    <row r="12" spans="2:15" ht="15" customHeight="1" x14ac:dyDescent="0.25">
      <c r="B12" s="86"/>
      <c r="C12" s="86"/>
      <c r="D12" s="320" t="s">
        <v>260</v>
      </c>
      <c r="E12" s="86"/>
      <c r="F12" s="86"/>
      <c r="G12" s="322" t="s">
        <v>261</v>
      </c>
      <c r="H12" s="86"/>
      <c r="I12" s="86"/>
      <c r="M12" s="86"/>
      <c r="N12" s="86"/>
      <c r="O12" s="86"/>
    </row>
    <row r="13" spans="2:15" ht="15.75" customHeight="1" thickBot="1" x14ac:dyDescent="0.3">
      <c r="D13" s="321"/>
      <c r="G13" s="323"/>
      <c r="J13" s="4" t="s">
        <v>159</v>
      </c>
      <c r="K13" s="185">
        <v>50</v>
      </c>
      <c r="N13" s="3"/>
    </row>
    <row r="15" spans="2:15" ht="18.75" x14ac:dyDescent="0.3">
      <c r="C15" s="22" t="s">
        <v>262</v>
      </c>
      <c r="F15" s="324" t="s">
        <v>263</v>
      </c>
      <c r="G15" s="324"/>
      <c r="H15" s="324"/>
      <c r="I15" s="23" t="s">
        <v>51</v>
      </c>
      <c r="J15" s="17">
        <f>K11*12</f>
        <v>9600</v>
      </c>
      <c r="K15" s="19" t="s">
        <v>264</v>
      </c>
    </row>
    <row r="16" spans="2:15" x14ac:dyDescent="0.25">
      <c r="F16" s="4" t="s">
        <v>51</v>
      </c>
      <c r="G16" s="140">
        <f>4.5*J15</f>
        <v>43200</v>
      </c>
      <c r="H16" t="s">
        <v>265</v>
      </c>
      <c r="I16">
        <f>G16/50</f>
        <v>864</v>
      </c>
    </row>
    <row r="17" spans="2:10" x14ac:dyDescent="0.25">
      <c r="F17" s="4" t="s">
        <v>13</v>
      </c>
      <c r="G17" s="1">
        <v>50</v>
      </c>
    </row>
    <row r="18" spans="2:10" x14ac:dyDescent="0.25">
      <c r="F18" s="4" t="s">
        <v>11</v>
      </c>
      <c r="G18" s="1">
        <f>2500/50</f>
        <v>50</v>
      </c>
      <c r="H18" t="s">
        <v>266</v>
      </c>
      <c r="I18" s="187">
        <v>2500</v>
      </c>
      <c r="J18" t="s">
        <v>330</v>
      </c>
    </row>
    <row r="19" spans="2:10" x14ac:dyDescent="0.25">
      <c r="F19" s="4" t="s">
        <v>12</v>
      </c>
      <c r="G19" s="1">
        <v>0.25</v>
      </c>
    </row>
    <row r="21" spans="2:10" ht="15.75" x14ac:dyDescent="0.25">
      <c r="F21" s="23" t="s">
        <v>49</v>
      </c>
      <c r="G21" s="18">
        <f>SQRT((2*G16*G17)/(G18*G19))</f>
        <v>587.87753826796279</v>
      </c>
      <c r="H21" s="19" t="s">
        <v>265</v>
      </c>
    </row>
    <row r="22" spans="2:10" ht="15.75" x14ac:dyDescent="0.25">
      <c r="F22" s="23" t="s">
        <v>49</v>
      </c>
      <c r="G22" s="69">
        <f>G21/50</f>
        <v>11.757550765359255</v>
      </c>
      <c r="H22" s="19" t="s">
        <v>267</v>
      </c>
    </row>
    <row r="23" spans="2:10" ht="18.75" x14ac:dyDescent="0.3">
      <c r="B23" s="45" t="s">
        <v>268</v>
      </c>
      <c r="F23" s="80" t="s">
        <v>49</v>
      </c>
      <c r="G23" s="216">
        <f>G22</f>
        <v>11.757550765359255</v>
      </c>
      <c r="H23" s="73" t="s">
        <v>267</v>
      </c>
      <c r="I23" s="142"/>
      <c r="J23" s="188"/>
    </row>
    <row r="25" spans="2:10" x14ac:dyDescent="0.25">
      <c r="F25" s="4" t="s">
        <v>159</v>
      </c>
      <c r="G25" s="1">
        <f>4.5*K13</f>
        <v>225</v>
      </c>
      <c r="H25" t="s">
        <v>265</v>
      </c>
      <c r="I25" t="s">
        <v>367</v>
      </c>
    </row>
    <row r="26" spans="2:10" x14ac:dyDescent="0.25">
      <c r="F26" s="4" t="s">
        <v>134</v>
      </c>
      <c r="G26" s="126">
        <f>G25*SQRT(15/30)</f>
        <v>159.0990257669732</v>
      </c>
      <c r="H26" t="s">
        <v>265</v>
      </c>
    </row>
    <row r="28" spans="2:10" x14ac:dyDescent="0.25">
      <c r="F28" s="4" t="s">
        <v>56</v>
      </c>
      <c r="G28" s="126">
        <f>1.65*G26</f>
        <v>262.51339251550576</v>
      </c>
      <c r="H28" t="s">
        <v>265</v>
      </c>
    </row>
    <row r="29" spans="2:10" x14ac:dyDescent="0.25">
      <c r="F29" s="4" t="s">
        <v>56</v>
      </c>
      <c r="G29" s="21">
        <f>G28/50</f>
        <v>5.2502678503101148</v>
      </c>
      <c r="H29" t="s">
        <v>267</v>
      </c>
    </row>
    <row r="30" spans="2:10" ht="18.75" x14ac:dyDescent="0.3">
      <c r="B30" s="45" t="s">
        <v>269</v>
      </c>
      <c r="F30" s="80" t="s">
        <v>56</v>
      </c>
      <c r="G30" s="216">
        <f>G29</f>
        <v>5.2502678503101148</v>
      </c>
      <c r="H30" s="73" t="s">
        <v>267</v>
      </c>
      <c r="I30" s="142"/>
      <c r="J30" s="188"/>
    </row>
    <row r="32" spans="2:10" ht="18.75" x14ac:dyDescent="0.3">
      <c r="B32" s="45" t="s">
        <v>270</v>
      </c>
      <c r="E32" s="142"/>
      <c r="F32" s="80" t="s">
        <v>57</v>
      </c>
      <c r="G32" s="216">
        <f>(G23/2)+G30</f>
        <v>11.129043232989742</v>
      </c>
      <c r="H32" s="73" t="s">
        <v>267</v>
      </c>
      <c r="I32" s="142"/>
    </row>
    <row r="34" spans="2:9" ht="18.75" x14ac:dyDescent="0.3">
      <c r="B34" s="45" t="s">
        <v>271</v>
      </c>
      <c r="F34" s="80" t="s">
        <v>77</v>
      </c>
      <c r="G34" s="216">
        <f>(((G16/360)*F11)/50)+G30</f>
        <v>41.250267850310117</v>
      </c>
      <c r="H34" s="73" t="s">
        <v>267</v>
      </c>
      <c r="I34" s="142"/>
    </row>
    <row r="36" spans="2:9" x14ac:dyDescent="0.25">
      <c r="B36" s="36" t="s">
        <v>136</v>
      </c>
    </row>
    <row r="38" spans="2:9" ht="15.75" x14ac:dyDescent="0.25">
      <c r="C38" s="143" t="s">
        <v>138</v>
      </c>
      <c r="D38" s="143"/>
      <c r="E38" s="143"/>
      <c r="F38" s="143"/>
      <c r="G38" s="144">
        <f>(G16/G21)*G17</f>
        <v>3674.2346141747666</v>
      </c>
      <c r="H38" s="188" t="s">
        <v>331</v>
      </c>
    </row>
    <row r="39" spans="2:9" ht="15.75" x14ac:dyDescent="0.25">
      <c r="C39" s="143" t="s">
        <v>272</v>
      </c>
      <c r="D39" s="143"/>
      <c r="E39" s="143"/>
      <c r="F39" s="143"/>
      <c r="G39" s="144">
        <f>G32*G18*50*G19</f>
        <v>6955.6520206185896</v>
      </c>
    </row>
    <row r="40" spans="2:9" ht="15.75" x14ac:dyDescent="0.25">
      <c r="C40" s="145" t="s">
        <v>94</v>
      </c>
      <c r="D40" s="145"/>
      <c r="E40" s="145"/>
      <c r="F40" s="145"/>
      <c r="G40" s="146">
        <v>455</v>
      </c>
      <c r="H40" s="188" t="s">
        <v>332</v>
      </c>
    </row>
    <row r="41" spans="2:9" ht="15.75" x14ac:dyDescent="0.25">
      <c r="C41" s="143" t="s">
        <v>95</v>
      </c>
      <c r="D41" s="143"/>
      <c r="E41" s="143"/>
      <c r="F41" s="143"/>
      <c r="G41" s="144">
        <f>SUM(G38:G40)</f>
        <v>11084.886634793356</v>
      </c>
    </row>
  </sheetData>
  <mergeCells count="4">
    <mergeCell ref="B1:N9"/>
    <mergeCell ref="D12:D13"/>
    <mergeCell ref="G12:G13"/>
    <mergeCell ref="F15:H1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6CAFC-04F4-4689-AF6C-D6363ED84776}">
  <dimension ref="B1:O42"/>
  <sheetViews>
    <sheetView tabSelected="1" topLeftCell="A17" zoomScaleNormal="100" workbookViewId="0">
      <selection activeCell="K21" sqref="K21"/>
    </sheetView>
  </sheetViews>
  <sheetFormatPr baseColWidth="10" defaultRowHeight="15" x14ac:dyDescent="0.25"/>
  <cols>
    <col min="1" max="1" width="8.5703125" customWidth="1"/>
    <col min="8" max="8" width="15" bestFit="1" customWidth="1"/>
    <col min="11" max="11" width="15.140625" bestFit="1" customWidth="1"/>
    <col min="12" max="12" width="13" customWidth="1"/>
  </cols>
  <sheetData>
    <row r="1" spans="2:15" ht="15" customHeight="1" x14ac:dyDescent="0.25">
      <c r="B1" s="271" t="s">
        <v>343</v>
      </c>
      <c r="C1" s="271"/>
      <c r="D1" s="271"/>
      <c r="E1" s="271"/>
      <c r="F1" s="271"/>
      <c r="G1" s="271"/>
      <c r="H1" s="271"/>
      <c r="I1" s="271"/>
      <c r="J1" s="271"/>
      <c r="K1" s="271"/>
      <c r="L1" s="271"/>
      <c r="M1" s="271"/>
      <c r="N1" s="271"/>
      <c r="O1" s="86"/>
    </row>
    <row r="2" spans="2:15" x14ac:dyDescent="0.25">
      <c r="B2" s="271"/>
      <c r="C2" s="271"/>
      <c r="D2" s="271"/>
      <c r="E2" s="271"/>
      <c r="F2" s="271"/>
      <c r="G2" s="271"/>
      <c r="H2" s="271"/>
      <c r="I2" s="271"/>
      <c r="J2" s="271"/>
      <c r="K2" s="271"/>
      <c r="L2" s="271"/>
      <c r="M2" s="271"/>
      <c r="N2" s="271"/>
      <c r="O2" s="86"/>
    </row>
    <row r="3" spans="2:15" ht="18.75" customHeight="1" x14ac:dyDescent="0.25">
      <c r="B3" s="271"/>
      <c r="C3" s="271"/>
      <c r="D3" s="271"/>
      <c r="E3" s="271"/>
      <c r="F3" s="271"/>
      <c r="G3" s="271"/>
      <c r="H3" s="271"/>
      <c r="I3" s="271"/>
      <c r="J3" s="271"/>
      <c r="K3" s="271"/>
      <c r="L3" s="271"/>
      <c r="M3" s="271"/>
      <c r="N3" s="271"/>
      <c r="O3" s="86"/>
    </row>
    <row r="4" spans="2:15" ht="18.75" customHeight="1" x14ac:dyDescent="0.25">
      <c r="B4" s="271"/>
      <c r="C4" s="271"/>
      <c r="D4" s="271"/>
      <c r="E4" s="271"/>
      <c r="F4" s="271"/>
      <c r="G4" s="271"/>
      <c r="H4" s="271"/>
      <c r="I4" s="271"/>
      <c r="J4" s="271"/>
      <c r="K4" s="271"/>
      <c r="L4" s="271"/>
      <c r="M4" s="271"/>
      <c r="N4" s="271"/>
      <c r="O4" s="86"/>
    </row>
    <row r="5" spans="2:15" ht="17.25" customHeight="1" x14ac:dyDescent="0.25">
      <c r="B5" s="271"/>
      <c r="C5" s="271"/>
      <c r="D5" s="271"/>
      <c r="E5" s="271"/>
      <c r="F5" s="271"/>
      <c r="G5" s="271"/>
      <c r="H5" s="271"/>
      <c r="I5" s="271"/>
      <c r="J5" s="271"/>
      <c r="K5" s="271"/>
      <c r="L5" s="271"/>
      <c r="M5" s="271"/>
      <c r="N5" s="271"/>
      <c r="O5" s="86"/>
    </row>
    <row r="6" spans="2:15" ht="17.25" customHeight="1" x14ac:dyDescent="0.25">
      <c r="B6" s="271"/>
      <c r="C6" s="271"/>
      <c r="D6" s="271"/>
      <c r="E6" s="271"/>
      <c r="F6" s="271"/>
      <c r="G6" s="271"/>
      <c r="H6" s="271"/>
      <c r="I6" s="271"/>
      <c r="J6" s="271"/>
      <c r="K6" s="271"/>
      <c r="L6" s="271"/>
      <c r="M6" s="271"/>
      <c r="N6" s="271"/>
      <c r="O6" s="86"/>
    </row>
    <row r="7" spans="2:15" ht="19.5" customHeight="1" x14ac:dyDescent="0.25">
      <c r="B7" s="271"/>
      <c r="C7" s="271"/>
      <c r="D7" s="271"/>
      <c r="E7" s="271"/>
      <c r="F7" s="271"/>
      <c r="G7" s="271"/>
      <c r="H7" s="271"/>
      <c r="I7" s="271"/>
      <c r="J7" s="271"/>
      <c r="K7" s="271"/>
      <c r="L7" s="271"/>
      <c r="M7" s="271"/>
      <c r="N7" s="271"/>
      <c r="O7" s="86"/>
    </row>
    <row r="8" spans="2:15" x14ac:dyDescent="0.25">
      <c r="B8" s="86"/>
      <c r="C8" s="86"/>
      <c r="D8" s="86"/>
      <c r="E8" s="86"/>
      <c r="F8" s="86"/>
      <c r="G8" s="86"/>
      <c r="H8" s="86"/>
      <c r="I8" s="86"/>
      <c r="J8" s="86"/>
      <c r="K8" s="86"/>
      <c r="L8" s="86"/>
      <c r="M8" s="86"/>
      <c r="N8" s="86"/>
      <c r="O8" s="86"/>
    </row>
    <row r="9" spans="2:15" ht="15.75" thickBot="1" x14ac:dyDescent="0.3">
      <c r="B9" s="86"/>
      <c r="C9" s="86"/>
      <c r="D9" s="86"/>
      <c r="E9" s="138" t="s">
        <v>14</v>
      </c>
      <c r="F9" s="139">
        <v>15</v>
      </c>
      <c r="G9" s="86" t="s">
        <v>61</v>
      </c>
      <c r="H9" s="86"/>
      <c r="I9" s="86"/>
      <c r="J9" s="138" t="s">
        <v>259</v>
      </c>
      <c r="K9" s="185">
        <v>800</v>
      </c>
      <c r="M9" s="86"/>
      <c r="N9" s="86"/>
      <c r="O9" s="86"/>
    </row>
    <row r="10" spans="2:15" ht="15" customHeight="1" x14ac:dyDescent="0.25">
      <c r="B10" s="86"/>
      <c r="C10" s="86"/>
      <c r="D10" s="320" t="s">
        <v>260</v>
      </c>
      <c r="E10" s="86"/>
      <c r="F10" s="86"/>
      <c r="G10" s="322" t="s">
        <v>261</v>
      </c>
      <c r="H10" s="86"/>
      <c r="I10" s="86"/>
      <c r="M10" s="86"/>
      <c r="N10" s="86"/>
      <c r="O10" s="86"/>
    </row>
    <row r="11" spans="2:15" ht="15.75" customHeight="1" thickBot="1" x14ac:dyDescent="0.3">
      <c r="D11" s="321"/>
      <c r="G11" s="323"/>
      <c r="J11" s="4" t="s">
        <v>159</v>
      </c>
      <c r="K11" s="185">
        <v>50</v>
      </c>
      <c r="N11" s="3"/>
    </row>
    <row r="12" spans="2:15" x14ac:dyDescent="0.25">
      <c r="B12" t="s">
        <v>262</v>
      </c>
      <c r="G12" s="4" t="s">
        <v>13</v>
      </c>
      <c r="H12" s="45">
        <v>100</v>
      </c>
    </row>
    <row r="13" spans="2:15" ht="15.75" x14ac:dyDescent="0.25">
      <c r="G13" s="147" t="s">
        <v>273</v>
      </c>
      <c r="I13" s="15" t="s">
        <v>51</v>
      </c>
      <c r="J13" s="5">
        <f>K9*12</f>
        <v>9600</v>
      </c>
      <c r="K13" s="3" t="s">
        <v>264</v>
      </c>
    </row>
    <row r="14" spans="2:15" x14ac:dyDescent="0.25">
      <c r="C14" s="15" t="s">
        <v>11</v>
      </c>
      <c r="D14" s="189">
        <v>1920</v>
      </c>
      <c r="F14" s="326" t="s">
        <v>274</v>
      </c>
      <c r="G14" s="326"/>
      <c r="H14" s="326"/>
    </row>
    <row r="15" spans="2:15" x14ac:dyDescent="0.25">
      <c r="F15" s="4"/>
      <c r="G15" s="1"/>
    </row>
    <row r="16" spans="2:15" x14ac:dyDescent="0.25">
      <c r="F16" s="4"/>
      <c r="G16" s="1"/>
    </row>
    <row r="17" spans="2:12" x14ac:dyDescent="0.25">
      <c r="F17" s="4"/>
      <c r="G17" s="1"/>
    </row>
    <row r="19" spans="2:12" ht="18.75" x14ac:dyDescent="0.3">
      <c r="F19" s="324" t="s">
        <v>263</v>
      </c>
      <c r="G19" s="324"/>
      <c r="H19" s="324"/>
    </row>
    <row r="20" spans="2:12" ht="15.75" customHeight="1" x14ac:dyDescent="0.25">
      <c r="F20" s="148"/>
      <c r="G20" s="149"/>
      <c r="H20" s="22"/>
    </row>
    <row r="21" spans="2:12" ht="15.75" customHeight="1" x14ac:dyDescent="0.3">
      <c r="B21" s="325" t="s">
        <v>275</v>
      </c>
      <c r="C21" s="325"/>
      <c r="D21" s="325"/>
      <c r="E21" s="325"/>
      <c r="F21" s="29"/>
      <c r="G21" s="150" t="s">
        <v>51</v>
      </c>
      <c r="H21" s="43">
        <f>4.5*J13</f>
        <v>43200</v>
      </c>
      <c r="I21" t="s">
        <v>265</v>
      </c>
      <c r="J21" s="151" t="s">
        <v>51</v>
      </c>
      <c r="K21" s="62">
        <f>H21/50</f>
        <v>864</v>
      </c>
      <c r="L21" s="11" t="s">
        <v>267</v>
      </c>
    </row>
    <row r="22" spans="2:12" ht="15.75" customHeight="1" x14ac:dyDescent="0.25">
      <c r="G22" s="15" t="s">
        <v>276</v>
      </c>
      <c r="H22" s="1">
        <v>24</v>
      </c>
      <c r="I22" t="s">
        <v>277</v>
      </c>
      <c r="J22" s="151" t="s">
        <v>51</v>
      </c>
      <c r="K22" s="62">
        <f>K21/4</f>
        <v>216</v>
      </c>
      <c r="L22" s="11" t="s">
        <v>278</v>
      </c>
    </row>
    <row r="23" spans="2:12" ht="15.75" customHeight="1" x14ac:dyDescent="0.25">
      <c r="F23" s="4"/>
      <c r="G23" s="24" t="s">
        <v>49</v>
      </c>
      <c r="H23" s="82">
        <f>H21/H22</f>
        <v>1800</v>
      </c>
      <c r="I23" t="s">
        <v>265</v>
      </c>
    </row>
    <row r="24" spans="2:12" ht="18.75" x14ac:dyDescent="0.3">
      <c r="B24" t="s">
        <v>268</v>
      </c>
      <c r="F24" s="4"/>
      <c r="G24" s="190" t="s">
        <v>49</v>
      </c>
      <c r="H24" s="191">
        <f>H23/50</f>
        <v>36</v>
      </c>
      <c r="I24" s="192" t="s">
        <v>267</v>
      </c>
      <c r="J24" s="193"/>
    </row>
    <row r="25" spans="2:12" x14ac:dyDescent="0.25">
      <c r="G25" s="15" t="s">
        <v>17</v>
      </c>
      <c r="H25" s="5">
        <v>1.65</v>
      </c>
    </row>
    <row r="26" spans="2:12" x14ac:dyDescent="0.25">
      <c r="F26" s="4"/>
      <c r="G26" s="152" t="s">
        <v>162</v>
      </c>
      <c r="H26" s="200">
        <f>K11*4.5*SQRT(15/30)</f>
        <v>159.0990257669732</v>
      </c>
      <c r="I26" t="s">
        <v>265</v>
      </c>
      <c r="J26" t="s">
        <v>333</v>
      </c>
    </row>
    <row r="27" spans="2:12" x14ac:dyDescent="0.25">
      <c r="F27" s="4"/>
      <c r="G27" s="153" t="s">
        <v>56</v>
      </c>
      <c r="H27" s="126">
        <f>H25*H26</f>
        <v>262.51339251550576</v>
      </c>
      <c r="I27" t="s">
        <v>265</v>
      </c>
    </row>
    <row r="28" spans="2:12" ht="18.75" x14ac:dyDescent="0.3">
      <c r="F28" s="29"/>
      <c r="G28" s="153" t="s">
        <v>56</v>
      </c>
      <c r="H28" s="21">
        <f>H27/50</f>
        <v>5.2502678503101148</v>
      </c>
      <c r="I28" t="s">
        <v>267</v>
      </c>
    </row>
    <row r="29" spans="2:12" ht="18.75" x14ac:dyDescent="0.3">
      <c r="B29" t="s">
        <v>269</v>
      </c>
      <c r="G29" s="194" t="s">
        <v>56</v>
      </c>
      <c r="H29" s="195">
        <f>ROUNDUP(H28,0)</f>
        <v>6</v>
      </c>
      <c r="I29" s="192" t="s">
        <v>267</v>
      </c>
      <c r="J29" s="196"/>
    </row>
    <row r="30" spans="2:12" ht="18.75" x14ac:dyDescent="0.3">
      <c r="F30" s="29"/>
      <c r="G30" s="153" t="s">
        <v>279</v>
      </c>
      <c r="H30" s="1">
        <v>500</v>
      </c>
      <c r="I30" t="s">
        <v>280</v>
      </c>
    </row>
    <row r="31" spans="2:12" ht="15.75" x14ac:dyDescent="0.25">
      <c r="G31" s="197" t="s">
        <v>281</v>
      </c>
      <c r="H31" s="147">
        <f>H30/4</f>
        <v>125</v>
      </c>
      <c r="I31" s="22" t="s">
        <v>282</v>
      </c>
      <c r="J31" s="22"/>
    </row>
    <row r="32" spans="2:12" ht="18.75" x14ac:dyDescent="0.3">
      <c r="F32" s="29"/>
      <c r="G32" s="151" t="s">
        <v>283</v>
      </c>
      <c r="H32" s="62">
        <f>D14+H31</f>
        <v>2045</v>
      </c>
      <c r="I32" s="11" t="s">
        <v>282</v>
      </c>
      <c r="J32" s="11"/>
      <c r="K32" s="4" t="s">
        <v>11</v>
      </c>
      <c r="L32" s="186">
        <f>D14</f>
        <v>1920</v>
      </c>
    </row>
    <row r="33" spans="2:10" ht="18.75" x14ac:dyDescent="0.3">
      <c r="F33" s="29"/>
      <c r="G33" s="152" t="s">
        <v>12</v>
      </c>
      <c r="H33" s="1">
        <v>0.25</v>
      </c>
    </row>
    <row r="34" spans="2:10" ht="18.75" x14ac:dyDescent="0.3">
      <c r="B34" t="s">
        <v>270</v>
      </c>
      <c r="F34" s="190"/>
      <c r="G34" s="198" t="s">
        <v>57</v>
      </c>
      <c r="H34" s="199">
        <f>(H24/2)+H29</f>
        <v>24</v>
      </c>
      <c r="I34" s="192" t="s">
        <v>267</v>
      </c>
      <c r="J34" s="196"/>
    </row>
    <row r="35" spans="2:10" ht="18.75" x14ac:dyDescent="0.3">
      <c r="F35" s="29"/>
      <c r="G35" s="152"/>
      <c r="H35" s="1"/>
    </row>
    <row r="36" spans="2:10" ht="18.75" x14ac:dyDescent="0.3">
      <c r="B36" t="s">
        <v>271</v>
      </c>
      <c r="F36" s="29"/>
      <c r="G36" s="198" t="s">
        <v>77</v>
      </c>
      <c r="H36" s="199">
        <f>(K21/360)*F9+H29</f>
        <v>42</v>
      </c>
      <c r="I36" s="192" t="s">
        <v>267</v>
      </c>
      <c r="J36" s="196"/>
    </row>
    <row r="37" spans="2:10" ht="18.75" x14ac:dyDescent="0.3">
      <c r="F37" s="29"/>
      <c r="G37" s="152"/>
      <c r="H37" s="1"/>
    </row>
    <row r="38" spans="2:10" x14ac:dyDescent="0.25">
      <c r="B38" s="36" t="s">
        <v>136</v>
      </c>
    </row>
    <row r="39" spans="2:10" x14ac:dyDescent="0.25">
      <c r="E39" s="154" t="s">
        <v>138</v>
      </c>
      <c r="F39" s="154"/>
      <c r="G39" s="154"/>
      <c r="H39" s="155">
        <f>(K21/H24)*H12</f>
        <v>2400</v>
      </c>
    </row>
    <row r="40" spans="2:10" x14ac:dyDescent="0.25">
      <c r="E40" s="156" t="s">
        <v>284</v>
      </c>
      <c r="F40" s="154"/>
      <c r="G40" s="154"/>
      <c r="H40" s="155">
        <f>((H24/2)+H29)*H32*H33</f>
        <v>12270</v>
      </c>
    </row>
    <row r="41" spans="2:10" x14ac:dyDescent="0.25">
      <c r="E41" s="157" t="s">
        <v>94</v>
      </c>
      <c r="F41" s="157"/>
      <c r="G41" s="157"/>
      <c r="H41" s="158">
        <f>(K21/H24)*H26*1.45*0.0206</f>
        <v>114.05490959182774</v>
      </c>
    </row>
    <row r="42" spans="2:10" ht="15.75" x14ac:dyDescent="0.25">
      <c r="E42" s="159" t="s">
        <v>95</v>
      </c>
      <c r="F42" s="159"/>
      <c r="G42" s="159"/>
      <c r="H42" s="160">
        <f>SUM(H39:H41)</f>
        <v>14784.054909591829</v>
      </c>
    </row>
  </sheetData>
  <mergeCells count="6">
    <mergeCell ref="B21:E21"/>
    <mergeCell ref="B1:N7"/>
    <mergeCell ref="D10:D11"/>
    <mergeCell ref="G10:G11"/>
    <mergeCell ref="F14:H14"/>
    <mergeCell ref="F19:H1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614B-233F-4140-9F9B-773C9290A17B}">
  <dimension ref="B1:P38"/>
  <sheetViews>
    <sheetView topLeftCell="A18" workbookViewId="0">
      <selection activeCell="G36" sqref="G36"/>
    </sheetView>
  </sheetViews>
  <sheetFormatPr baseColWidth="10" defaultRowHeight="15" x14ac:dyDescent="0.25"/>
  <cols>
    <col min="1" max="1" width="8.5703125" customWidth="1"/>
    <col min="11" max="11" width="15.140625" bestFit="1" customWidth="1"/>
    <col min="12" max="12" width="13" customWidth="1"/>
  </cols>
  <sheetData>
    <row r="1" spans="2:15" ht="15" customHeight="1" x14ac:dyDescent="0.25">
      <c r="B1" s="271" t="s">
        <v>336</v>
      </c>
      <c r="C1" s="271"/>
      <c r="D1" s="271"/>
      <c r="E1" s="271"/>
      <c r="F1" s="271"/>
      <c r="G1" s="271"/>
      <c r="H1" s="271"/>
      <c r="I1" s="271"/>
      <c r="J1" s="271"/>
      <c r="K1" s="271"/>
      <c r="L1" s="271"/>
      <c r="M1" s="271"/>
      <c r="N1" s="271"/>
      <c r="O1" s="86"/>
    </row>
    <row r="2" spans="2:15" x14ac:dyDescent="0.25">
      <c r="B2" s="271"/>
      <c r="C2" s="271"/>
      <c r="D2" s="271"/>
      <c r="E2" s="271"/>
      <c r="F2" s="271"/>
      <c r="G2" s="271"/>
      <c r="H2" s="271"/>
      <c r="I2" s="271"/>
      <c r="J2" s="271"/>
      <c r="K2" s="271"/>
      <c r="L2" s="271"/>
      <c r="M2" s="271"/>
      <c r="N2" s="271"/>
      <c r="O2" s="86"/>
    </row>
    <row r="3" spans="2:15" x14ac:dyDescent="0.25">
      <c r="B3" s="271"/>
      <c r="C3" s="271"/>
      <c r="D3" s="271"/>
      <c r="E3" s="271"/>
      <c r="F3" s="271"/>
      <c r="G3" s="271"/>
      <c r="H3" s="271"/>
      <c r="I3" s="271"/>
      <c r="J3" s="271"/>
      <c r="K3" s="271"/>
      <c r="L3" s="271"/>
      <c r="M3" s="271"/>
      <c r="N3" s="271"/>
      <c r="O3" s="86"/>
    </row>
    <row r="4" spans="2:15" x14ac:dyDescent="0.25">
      <c r="B4" s="271"/>
      <c r="C4" s="271"/>
      <c r="D4" s="271"/>
      <c r="E4" s="271"/>
      <c r="F4" s="271"/>
      <c r="G4" s="271"/>
      <c r="H4" s="271"/>
      <c r="I4" s="271"/>
      <c r="J4" s="271"/>
      <c r="K4" s="271"/>
      <c r="L4" s="271"/>
      <c r="M4" s="271"/>
      <c r="N4" s="271"/>
      <c r="O4" s="86"/>
    </row>
    <row r="5" spans="2:15" x14ac:dyDescent="0.25">
      <c r="B5" s="271"/>
      <c r="C5" s="271"/>
      <c r="D5" s="271"/>
      <c r="E5" s="271"/>
      <c r="F5" s="271"/>
      <c r="G5" s="271"/>
      <c r="H5" s="271"/>
      <c r="I5" s="271"/>
      <c r="J5" s="271"/>
      <c r="K5" s="271"/>
      <c r="L5" s="271"/>
      <c r="M5" s="271"/>
      <c r="N5" s="271"/>
      <c r="O5" s="86"/>
    </row>
    <row r="6" spans="2:15" x14ac:dyDescent="0.25">
      <c r="B6" s="271"/>
      <c r="C6" s="271"/>
      <c r="D6" s="271"/>
      <c r="E6" s="271"/>
      <c r="F6" s="271"/>
      <c r="G6" s="271"/>
      <c r="H6" s="271"/>
      <c r="I6" s="271"/>
      <c r="J6" s="271"/>
      <c r="K6" s="271"/>
      <c r="L6" s="271"/>
      <c r="M6" s="271"/>
      <c r="N6" s="271"/>
      <c r="O6" s="86"/>
    </row>
    <row r="7" spans="2:15" x14ac:dyDescent="0.25">
      <c r="B7" s="271"/>
      <c r="C7" s="271"/>
      <c r="D7" s="271"/>
      <c r="E7" s="271"/>
      <c r="F7" s="271"/>
      <c r="G7" s="271"/>
      <c r="H7" s="271"/>
      <c r="I7" s="271"/>
      <c r="J7" s="271"/>
      <c r="K7" s="271"/>
      <c r="L7" s="271"/>
      <c r="M7" s="271"/>
      <c r="N7" s="271"/>
      <c r="O7" s="86"/>
    </row>
    <row r="8" spans="2:15" x14ac:dyDescent="0.25">
      <c r="B8" s="271"/>
      <c r="C8" s="271"/>
      <c r="D8" s="271"/>
      <c r="E8" s="271"/>
      <c r="F8" s="271"/>
      <c r="G8" s="271"/>
      <c r="H8" s="271"/>
      <c r="I8" s="271"/>
      <c r="J8" s="271"/>
      <c r="K8" s="271"/>
      <c r="L8" s="271"/>
      <c r="M8" s="271"/>
      <c r="N8" s="271"/>
      <c r="O8" s="86"/>
    </row>
    <row r="9" spans="2:15" ht="15.75" thickBot="1" x14ac:dyDescent="0.3">
      <c r="J9" t="s">
        <v>334</v>
      </c>
      <c r="L9" s="331" t="s">
        <v>335</v>
      </c>
      <c r="M9" s="331"/>
      <c r="N9" s="3" t="s">
        <v>21</v>
      </c>
    </row>
    <row r="10" spans="2:15" x14ac:dyDescent="0.25">
      <c r="H10" s="327" t="s">
        <v>285</v>
      </c>
      <c r="J10">
        <v>266</v>
      </c>
      <c r="K10" t="s">
        <v>75</v>
      </c>
      <c r="L10" s="201">
        <f>J10/12</f>
        <v>22.166666666666668</v>
      </c>
      <c r="M10" s="3" t="s">
        <v>127</v>
      </c>
      <c r="N10">
        <v>15</v>
      </c>
      <c r="O10" t="s">
        <v>75</v>
      </c>
    </row>
    <row r="11" spans="2:15" ht="15.75" thickBot="1" x14ac:dyDescent="0.3">
      <c r="H11" s="328"/>
      <c r="L11" s="3"/>
      <c r="M11" s="3"/>
    </row>
    <row r="12" spans="2:15" ht="15.75" thickBot="1" x14ac:dyDescent="0.3">
      <c r="D12" t="s">
        <v>286</v>
      </c>
      <c r="L12" s="3"/>
      <c r="M12" s="3"/>
    </row>
    <row r="13" spans="2:15" ht="15" customHeight="1" x14ac:dyDescent="0.25">
      <c r="C13" s="320" t="s">
        <v>287</v>
      </c>
      <c r="E13" s="329" t="s">
        <v>288</v>
      </c>
      <c r="H13" s="327" t="s">
        <v>289</v>
      </c>
      <c r="J13">
        <v>351</v>
      </c>
      <c r="K13" t="s">
        <v>75</v>
      </c>
      <c r="L13" s="201">
        <f>J13/12</f>
        <v>29.25</v>
      </c>
      <c r="M13" s="3" t="s">
        <v>127</v>
      </c>
      <c r="N13">
        <v>27</v>
      </c>
      <c r="O13" t="s">
        <v>75</v>
      </c>
    </row>
    <row r="14" spans="2:15" ht="15" customHeight="1" thickBot="1" x14ac:dyDescent="0.3">
      <c r="C14" s="321"/>
      <c r="E14" s="330"/>
      <c r="H14" s="328"/>
      <c r="L14" s="3"/>
      <c r="M14" s="3"/>
    </row>
    <row r="15" spans="2:15" ht="15.75" thickBot="1" x14ac:dyDescent="0.3">
      <c r="L15" s="3"/>
      <c r="M15" s="3"/>
    </row>
    <row r="16" spans="2:15" ht="15" customHeight="1" x14ac:dyDescent="0.25">
      <c r="D16" s="4" t="s">
        <v>11</v>
      </c>
      <c r="E16" s="1">
        <v>489</v>
      </c>
      <c r="H16" s="327" t="s">
        <v>290</v>
      </c>
      <c r="J16">
        <v>260</v>
      </c>
      <c r="K16" t="s">
        <v>75</v>
      </c>
      <c r="L16" s="201">
        <f>J16/12</f>
        <v>21.666666666666668</v>
      </c>
      <c r="M16" s="3" t="s">
        <v>127</v>
      </c>
      <c r="N16">
        <v>19</v>
      </c>
      <c r="O16" t="s">
        <v>75</v>
      </c>
    </row>
    <row r="17" spans="2:16" ht="15" customHeight="1" thickBot="1" x14ac:dyDescent="0.3">
      <c r="D17" s="4" t="s">
        <v>12</v>
      </c>
      <c r="E17" s="1">
        <v>0.2</v>
      </c>
      <c r="H17" s="328"/>
    </row>
    <row r="18" spans="2:16" x14ac:dyDescent="0.25">
      <c r="D18" s="4" t="s">
        <v>13</v>
      </c>
      <c r="E18" s="1">
        <v>200</v>
      </c>
      <c r="J18" s="11"/>
      <c r="K18" s="24" t="s">
        <v>291</v>
      </c>
      <c r="L18" s="78">
        <f>SUM(L10:L17)</f>
        <v>73.083333333333343</v>
      </c>
      <c r="M18" s="11" t="s">
        <v>127</v>
      </c>
    </row>
    <row r="19" spans="2:16" ht="15" customHeight="1" x14ac:dyDescent="0.25">
      <c r="D19" s="4" t="s">
        <v>51</v>
      </c>
      <c r="E19" s="126">
        <f>L20</f>
        <v>877.00000000000011</v>
      </c>
    </row>
    <row r="20" spans="2:16" ht="15" customHeight="1" x14ac:dyDescent="0.25">
      <c r="D20" s="4" t="s">
        <v>89</v>
      </c>
      <c r="E20" s="1">
        <v>1.65</v>
      </c>
      <c r="K20" s="24" t="s">
        <v>51</v>
      </c>
      <c r="L20" s="161">
        <f>L18*12</f>
        <v>877.00000000000011</v>
      </c>
      <c r="M20" s="11" t="s">
        <v>127</v>
      </c>
    </row>
    <row r="21" spans="2:16" ht="15" customHeight="1" x14ac:dyDescent="0.25">
      <c r="D21" s="4" t="s">
        <v>292</v>
      </c>
      <c r="E21" s="1">
        <v>2.06E-2</v>
      </c>
      <c r="K21" s="24"/>
      <c r="L21" s="161"/>
      <c r="M21" s="11"/>
    </row>
    <row r="22" spans="2:16" x14ac:dyDescent="0.25">
      <c r="B22" s="36"/>
    </row>
    <row r="23" spans="2:16" x14ac:dyDescent="0.25">
      <c r="B23" s="36" t="s">
        <v>293</v>
      </c>
      <c r="M23" t="s">
        <v>67</v>
      </c>
      <c r="N23" s="93">
        <f>SQRT(SUMSQ(N10,N13,N16))</f>
        <v>36.262928728937489</v>
      </c>
      <c r="O23" t="s">
        <v>75</v>
      </c>
    </row>
    <row r="24" spans="2:16" ht="15.75" x14ac:dyDescent="0.25">
      <c r="L24" s="12"/>
      <c r="M24" s="23" t="s">
        <v>67</v>
      </c>
      <c r="N24" s="79">
        <f>N23/12</f>
        <v>3.0219107274114574</v>
      </c>
      <c r="O24" s="19" t="s">
        <v>127</v>
      </c>
      <c r="P24" s="19" t="s">
        <v>294</v>
      </c>
    </row>
    <row r="25" spans="2:16" x14ac:dyDescent="0.25">
      <c r="B25" s="202" t="s">
        <v>51</v>
      </c>
      <c r="C25" s="203">
        <f>L20</f>
        <v>877.00000000000011</v>
      </c>
      <c r="D25" t="s">
        <v>377</v>
      </c>
      <c r="E25" s="15" t="s">
        <v>49</v>
      </c>
      <c r="F25" s="20">
        <f>SQRT((2*C25*C26)/(C27*C28))</f>
        <v>59.8908345695706</v>
      </c>
      <c r="G25" s="3" t="s">
        <v>127</v>
      </c>
    </row>
    <row r="26" spans="2:16" ht="15.75" x14ac:dyDescent="0.25">
      <c r="B26" s="202" t="s">
        <v>13</v>
      </c>
      <c r="C26" s="204">
        <f>E18</f>
        <v>200</v>
      </c>
      <c r="E26" s="24" t="s">
        <v>49</v>
      </c>
      <c r="F26" s="62">
        <v>60</v>
      </c>
      <c r="G26" s="11" t="s">
        <v>127</v>
      </c>
      <c r="H26" t="s">
        <v>338</v>
      </c>
      <c r="L26" s="19"/>
      <c r="M26" s="23" t="s">
        <v>96</v>
      </c>
      <c r="N26" s="79">
        <f>N24*SQRT(20/30)</f>
        <v>2.4673797768002723</v>
      </c>
      <c r="O26" s="19" t="s">
        <v>127</v>
      </c>
    </row>
    <row r="27" spans="2:16" x14ac:dyDescent="0.25">
      <c r="B27" s="202" t="s">
        <v>11</v>
      </c>
      <c r="C27" s="204">
        <v>489</v>
      </c>
      <c r="D27" t="s">
        <v>377</v>
      </c>
      <c r="E27" s="15" t="s">
        <v>56</v>
      </c>
      <c r="F27" s="20">
        <f>1.65*N26</f>
        <v>4.0711766317204487</v>
      </c>
      <c r="G27" s="3" t="s">
        <v>127</v>
      </c>
      <c r="N27" t="s">
        <v>337</v>
      </c>
    </row>
    <row r="28" spans="2:16" x14ac:dyDescent="0.25">
      <c r="B28" s="202" t="s">
        <v>12</v>
      </c>
      <c r="C28" s="204">
        <f>E17</f>
        <v>0.2</v>
      </c>
      <c r="E28" s="24" t="s">
        <v>56</v>
      </c>
      <c r="F28" s="62">
        <v>5</v>
      </c>
      <c r="G28" s="11" t="s">
        <v>127</v>
      </c>
      <c r="H28" t="s">
        <v>338</v>
      </c>
    </row>
    <row r="30" spans="2:16" x14ac:dyDescent="0.25">
      <c r="E30" s="24" t="s">
        <v>57</v>
      </c>
      <c r="F30" s="62">
        <f>(F26/2)+F28</f>
        <v>35</v>
      </c>
      <c r="G30" s="11" t="s">
        <v>127</v>
      </c>
    </row>
    <row r="31" spans="2:16" x14ac:dyDescent="0.25">
      <c r="E31" s="4"/>
    </row>
    <row r="32" spans="2:16" x14ac:dyDescent="0.25">
      <c r="E32" s="24" t="s">
        <v>77</v>
      </c>
      <c r="F32" s="66">
        <f>(C25/360)*20+F28</f>
        <v>53.722222222222229</v>
      </c>
      <c r="G32" s="11" t="s">
        <v>127</v>
      </c>
      <c r="H32" t="s">
        <v>338</v>
      </c>
    </row>
    <row r="35" spans="4:7" x14ac:dyDescent="0.25">
      <c r="D35" s="12"/>
      <c r="E35" s="11"/>
      <c r="F35" s="24" t="s">
        <v>295</v>
      </c>
      <c r="G35" s="162">
        <f>(C25/F26)*C26</f>
        <v>2923.3333333333339</v>
      </c>
    </row>
    <row r="36" spans="4:7" x14ac:dyDescent="0.25">
      <c r="D36" s="12"/>
      <c r="E36" s="24"/>
      <c r="F36" s="24" t="s">
        <v>296</v>
      </c>
      <c r="G36" s="162">
        <f>F30*C27*C28</f>
        <v>3423</v>
      </c>
    </row>
    <row r="37" spans="4:7" x14ac:dyDescent="0.25">
      <c r="D37" s="52"/>
      <c r="E37" s="52"/>
      <c r="F37" s="163" t="s">
        <v>297</v>
      </c>
      <c r="G37" s="164">
        <f>(C25/F26)*N26*1*0.0206</f>
        <v>0.74293627539381812</v>
      </c>
    </row>
    <row r="38" spans="4:7" x14ac:dyDescent="0.25">
      <c r="D38" s="12"/>
      <c r="E38" s="24"/>
      <c r="F38" s="24" t="s">
        <v>298</v>
      </c>
      <c r="G38" s="162">
        <f>SUM(G35:G37)</f>
        <v>6347.0762696087277</v>
      </c>
    </row>
  </sheetData>
  <mergeCells count="7">
    <mergeCell ref="H16:H17"/>
    <mergeCell ref="B1:N8"/>
    <mergeCell ref="H10:H11"/>
    <mergeCell ref="C13:C14"/>
    <mergeCell ref="E13:E14"/>
    <mergeCell ref="H13:H14"/>
    <mergeCell ref="L9:M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B1B4C-B30A-440D-B000-1A2650685DB4}">
  <dimension ref="B1:O11"/>
  <sheetViews>
    <sheetView workbookViewId="0">
      <selection activeCell="F18" sqref="F18"/>
    </sheetView>
  </sheetViews>
  <sheetFormatPr baseColWidth="10" defaultRowHeight="15" x14ac:dyDescent="0.25"/>
  <cols>
    <col min="1" max="1" width="6" customWidth="1"/>
    <col min="11" max="11" width="15.140625" bestFit="1" customWidth="1"/>
    <col min="12" max="12" width="13" customWidth="1"/>
  </cols>
  <sheetData>
    <row r="1" spans="2:15" ht="15" customHeight="1" x14ac:dyDescent="0.25">
      <c r="B1" s="271" t="s">
        <v>304</v>
      </c>
      <c r="C1" s="271"/>
      <c r="D1" s="271"/>
      <c r="E1" s="271"/>
      <c r="F1" s="271"/>
      <c r="G1" s="271"/>
      <c r="H1" s="271"/>
      <c r="I1" s="271"/>
      <c r="J1" s="271"/>
      <c r="K1" s="271"/>
      <c r="L1" s="271"/>
      <c r="M1" s="271"/>
      <c r="N1" s="271"/>
      <c r="O1" s="86"/>
    </row>
    <row r="2" spans="2:15" x14ac:dyDescent="0.25">
      <c r="B2" s="271"/>
      <c r="C2" s="271"/>
      <c r="D2" s="271"/>
      <c r="E2" s="271"/>
      <c r="F2" s="271"/>
      <c r="G2" s="271"/>
      <c r="H2" s="271"/>
      <c r="I2" s="271"/>
      <c r="J2" s="271"/>
      <c r="K2" s="271"/>
      <c r="L2" s="271"/>
      <c r="M2" s="271"/>
      <c r="N2" s="271"/>
      <c r="O2" s="86"/>
    </row>
    <row r="3" spans="2:15" x14ac:dyDescent="0.25">
      <c r="B3" s="271"/>
      <c r="C3" s="271"/>
      <c r="D3" s="271"/>
      <c r="E3" s="271"/>
      <c r="F3" s="271"/>
      <c r="G3" s="271"/>
      <c r="H3" s="271"/>
      <c r="I3" s="271"/>
      <c r="J3" s="271"/>
      <c r="K3" s="271"/>
      <c r="L3" s="271"/>
      <c r="M3" s="271"/>
      <c r="N3" s="271"/>
      <c r="O3" s="86"/>
    </row>
    <row r="4" spans="2:15" x14ac:dyDescent="0.25">
      <c r="B4" s="271"/>
      <c r="C4" s="271"/>
      <c r="D4" s="271"/>
      <c r="E4" s="271"/>
      <c r="F4" s="271"/>
      <c r="G4" s="271"/>
      <c r="H4" s="271"/>
      <c r="I4" s="271"/>
      <c r="J4" s="271"/>
      <c r="K4" s="271"/>
      <c r="L4" s="271"/>
      <c r="M4" s="271"/>
      <c r="N4" s="271"/>
      <c r="O4" s="86"/>
    </row>
    <row r="5" spans="2:15" x14ac:dyDescent="0.25">
      <c r="B5" s="271"/>
      <c r="C5" s="271"/>
      <c r="D5" s="271"/>
      <c r="E5" s="271"/>
      <c r="F5" s="271"/>
      <c r="G5" s="271"/>
      <c r="H5" s="271"/>
      <c r="I5" s="271"/>
      <c r="J5" s="271"/>
      <c r="K5" s="271"/>
      <c r="L5" s="271"/>
      <c r="M5" s="271"/>
      <c r="N5" s="271"/>
      <c r="O5" s="86"/>
    </row>
    <row r="6" spans="2:15" x14ac:dyDescent="0.25">
      <c r="B6" s="86"/>
      <c r="C6" s="86"/>
      <c r="D6" s="86"/>
      <c r="E6" s="86"/>
      <c r="F6" s="86"/>
      <c r="G6" s="86"/>
      <c r="H6" s="86"/>
      <c r="I6" s="86"/>
      <c r="J6" s="86"/>
      <c r="K6" s="86"/>
      <c r="L6" s="86"/>
      <c r="M6" s="86"/>
      <c r="N6" s="86"/>
      <c r="O6" s="86"/>
    </row>
    <row r="7" spans="2:15" x14ac:dyDescent="0.25">
      <c r="B7" s="86"/>
      <c r="C7" s="86"/>
      <c r="D7" s="86"/>
      <c r="E7" s="86"/>
      <c r="F7" s="86"/>
      <c r="G7" s="86"/>
      <c r="H7" s="86"/>
      <c r="I7" s="86"/>
      <c r="J7" s="86"/>
      <c r="K7" s="86"/>
      <c r="L7" s="86"/>
      <c r="M7" s="86"/>
      <c r="N7" s="86"/>
      <c r="O7" s="86"/>
    </row>
    <row r="8" spans="2:15" ht="15.75" x14ac:dyDescent="0.25">
      <c r="B8" s="86"/>
      <c r="C8" s="169" t="s">
        <v>305</v>
      </c>
      <c r="D8" s="170"/>
      <c r="E8" s="171"/>
      <c r="F8" s="171"/>
      <c r="G8" s="171"/>
      <c r="H8" s="172">
        <v>40</v>
      </c>
      <c r="I8" s="170" t="s">
        <v>127</v>
      </c>
      <c r="J8" s="86"/>
      <c r="K8" s="86"/>
      <c r="L8" s="86"/>
      <c r="M8" s="86"/>
      <c r="N8" s="86"/>
      <c r="O8" s="86"/>
    </row>
    <row r="9" spans="2:15" ht="15.75" x14ac:dyDescent="0.25">
      <c r="B9" s="86"/>
      <c r="C9" s="169" t="s">
        <v>306</v>
      </c>
      <c r="D9" s="170"/>
      <c r="E9" s="170"/>
      <c r="F9" s="170"/>
      <c r="G9" s="170"/>
      <c r="H9" s="172">
        <v>12</v>
      </c>
      <c r="I9" s="170" t="s">
        <v>127</v>
      </c>
      <c r="J9" s="86"/>
      <c r="K9" s="86"/>
      <c r="L9" s="86"/>
      <c r="M9" s="86"/>
      <c r="N9" s="86"/>
      <c r="O9" s="86"/>
    </row>
    <row r="11" spans="2:15" ht="21" x14ac:dyDescent="0.35">
      <c r="C11" s="173" t="s">
        <v>307</v>
      </c>
      <c r="D11" s="173"/>
      <c r="E11" s="173"/>
      <c r="F11" s="173"/>
      <c r="G11" s="173"/>
      <c r="H11" s="174">
        <f>H8-H9</f>
        <v>28</v>
      </c>
      <c r="I11" s="173" t="s">
        <v>127</v>
      </c>
    </row>
  </sheetData>
  <mergeCells count="1">
    <mergeCell ref="B1:N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E63C-F5AB-4239-A163-770A1B64D55E}">
  <dimension ref="B1:O37"/>
  <sheetViews>
    <sheetView workbookViewId="0">
      <selection activeCell="K38" sqref="K38"/>
    </sheetView>
  </sheetViews>
  <sheetFormatPr baseColWidth="10" defaultRowHeight="15" x14ac:dyDescent="0.25"/>
  <cols>
    <col min="5" max="5" width="12.140625" customWidth="1"/>
    <col min="6" max="6" width="12.42578125" customWidth="1"/>
    <col min="7" max="7" width="11.5703125" customWidth="1"/>
    <col min="8" max="8" width="13.85546875" bestFit="1" customWidth="1"/>
    <col min="11" max="11" width="15.140625" bestFit="1" customWidth="1"/>
    <col min="12" max="12" width="13" customWidth="1"/>
  </cols>
  <sheetData>
    <row r="1" spans="2:15" ht="15" customHeight="1" x14ac:dyDescent="0.25">
      <c r="B1" s="271" t="s">
        <v>378</v>
      </c>
      <c r="C1" s="271"/>
      <c r="D1" s="271"/>
      <c r="E1" s="271"/>
      <c r="F1" s="271"/>
      <c r="G1" s="271"/>
      <c r="H1" s="271"/>
      <c r="I1" s="271"/>
      <c r="J1" s="271"/>
      <c r="K1" s="271"/>
      <c r="L1" s="271"/>
      <c r="M1" s="271"/>
      <c r="N1" s="271"/>
      <c r="O1" s="86"/>
    </row>
    <row r="2" spans="2:15" x14ac:dyDescent="0.25">
      <c r="B2" s="271"/>
      <c r="C2" s="271"/>
      <c r="D2" s="271"/>
      <c r="E2" s="271"/>
      <c r="F2" s="271"/>
      <c r="G2" s="271"/>
      <c r="H2" s="271"/>
      <c r="I2" s="271"/>
      <c r="J2" s="271"/>
      <c r="K2" s="271"/>
      <c r="L2" s="271"/>
      <c r="M2" s="271"/>
      <c r="N2" s="271"/>
      <c r="O2" s="86"/>
    </row>
    <row r="3" spans="2:15" x14ac:dyDescent="0.25">
      <c r="B3" s="271"/>
      <c r="C3" s="271"/>
      <c r="D3" s="271"/>
      <c r="E3" s="271"/>
      <c r="F3" s="271"/>
      <c r="G3" s="271"/>
      <c r="H3" s="271"/>
      <c r="I3" s="271"/>
      <c r="J3" s="271"/>
      <c r="K3" s="271"/>
      <c r="L3" s="271"/>
      <c r="M3" s="271"/>
      <c r="N3" s="271"/>
      <c r="O3" s="86"/>
    </row>
    <row r="4" spans="2:15" x14ac:dyDescent="0.25">
      <c r="B4" s="271"/>
      <c r="C4" s="271"/>
      <c r="D4" s="271"/>
      <c r="E4" s="271"/>
      <c r="F4" s="271"/>
      <c r="G4" s="271"/>
      <c r="H4" s="271"/>
      <c r="I4" s="271"/>
      <c r="J4" s="271"/>
      <c r="K4" s="271"/>
      <c r="L4" s="271"/>
      <c r="M4" s="271"/>
      <c r="N4" s="271"/>
      <c r="O4" s="86"/>
    </row>
    <row r="5" spans="2:15" x14ac:dyDescent="0.25">
      <c r="B5" s="271"/>
      <c r="C5" s="271"/>
      <c r="D5" s="271"/>
      <c r="E5" s="271"/>
      <c r="F5" s="271"/>
      <c r="G5" s="271"/>
      <c r="H5" s="271"/>
      <c r="I5" s="271"/>
      <c r="J5" s="271"/>
      <c r="K5" s="271"/>
      <c r="L5" s="271"/>
      <c r="M5" s="271"/>
      <c r="N5" s="271"/>
      <c r="O5" s="86"/>
    </row>
    <row r="6" spans="2:15" x14ac:dyDescent="0.25">
      <c r="B6" s="271"/>
      <c r="C6" s="271"/>
      <c r="D6" s="271"/>
      <c r="E6" s="271"/>
      <c r="F6" s="271"/>
      <c r="G6" s="271"/>
      <c r="H6" s="271"/>
      <c r="I6" s="271"/>
      <c r="J6" s="271"/>
      <c r="K6" s="271"/>
      <c r="L6" s="271"/>
      <c r="M6" s="271"/>
      <c r="N6" s="271"/>
      <c r="O6" s="86"/>
    </row>
    <row r="7" spans="2:15" x14ac:dyDescent="0.25">
      <c r="B7" s="271"/>
      <c r="C7" s="271"/>
      <c r="D7" s="271"/>
      <c r="E7" s="271"/>
      <c r="F7" s="271"/>
      <c r="G7" s="271"/>
      <c r="H7" s="271"/>
      <c r="I7" s="271"/>
      <c r="J7" s="271"/>
      <c r="K7" s="271"/>
      <c r="L7" s="271"/>
      <c r="M7" s="271"/>
      <c r="N7" s="271"/>
      <c r="O7" s="86"/>
    </row>
    <row r="8" spans="2:15" x14ac:dyDescent="0.25">
      <c r="B8" s="271"/>
      <c r="C8" s="271"/>
      <c r="D8" s="271"/>
      <c r="E8" s="271"/>
      <c r="F8" s="271"/>
      <c r="G8" s="271"/>
      <c r="H8" s="271"/>
      <c r="I8" s="271"/>
      <c r="J8" s="271"/>
      <c r="K8" s="271"/>
      <c r="L8" s="271"/>
      <c r="M8" s="271"/>
      <c r="N8" s="271"/>
    </row>
    <row r="9" spans="2:15" x14ac:dyDescent="0.25">
      <c r="B9" s="271"/>
      <c r="C9" s="271"/>
      <c r="D9" s="271"/>
      <c r="E9" s="271"/>
      <c r="F9" s="271"/>
      <c r="G9" s="271"/>
      <c r="H9" s="271"/>
      <c r="I9" s="271"/>
      <c r="J9" s="271"/>
      <c r="K9" s="271"/>
      <c r="L9" s="271"/>
      <c r="M9" s="271"/>
      <c r="N9" s="271"/>
    </row>
    <row r="10" spans="2:15" x14ac:dyDescent="0.25">
      <c r="B10" s="271"/>
      <c r="C10" s="271"/>
      <c r="D10" s="271"/>
      <c r="E10" s="271"/>
      <c r="F10" s="271"/>
      <c r="G10" s="271"/>
      <c r="H10" s="271"/>
      <c r="I10" s="271"/>
      <c r="J10" s="271"/>
      <c r="K10" s="271"/>
      <c r="L10" s="271"/>
      <c r="M10" s="271"/>
      <c r="N10" s="271"/>
    </row>
    <row r="11" spans="2:15" ht="15.75" thickBot="1" x14ac:dyDescent="0.3"/>
    <row r="12" spans="2:15" x14ac:dyDescent="0.25">
      <c r="G12" s="332" t="s">
        <v>308</v>
      </c>
      <c r="H12" s="333"/>
    </row>
    <row r="13" spans="2:15" x14ac:dyDescent="0.25">
      <c r="G13" s="334"/>
      <c r="H13" s="335"/>
      <c r="K13" s="15" t="s">
        <v>309</v>
      </c>
      <c r="L13" s="5">
        <v>12</v>
      </c>
      <c r="M13" s="3" t="s">
        <v>75</v>
      </c>
    </row>
    <row r="14" spans="2:15" ht="15.75" thickBot="1" x14ac:dyDescent="0.3">
      <c r="G14" s="336"/>
      <c r="H14" s="337"/>
      <c r="K14" s="15" t="s">
        <v>310</v>
      </c>
      <c r="L14" s="5">
        <v>4</v>
      </c>
      <c r="M14" s="3" t="s">
        <v>75</v>
      </c>
    </row>
    <row r="15" spans="2:15" x14ac:dyDescent="0.25">
      <c r="D15" s="4" t="s">
        <v>14</v>
      </c>
      <c r="E15" s="1">
        <v>4</v>
      </c>
      <c r="F15" t="s">
        <v>61</v>
      </c>
      <c r="K15" s="24" t="s">
        <v>310</v>
      </c>
      <c r="L15" s="67">
        <f>L14/24</f>
        <v>0.16666666666666666</v>
      </c>
      <c r="M15" s="11" t="s">
        <v>127</v>
      </c>
    </row>
    <row r="17" spans="3:9" x14ac:dyDescent="0.25">
      <c r="G17" s="4" t="s">
        <v>51</v>
      </c>
      <c r="H17" s="1">
        <f>L13*360/24</f>
        <v>180</v>
      </c>
      <c r="I17" t="s">
        <v>127</v>
      </c>
    </row>
    <row r="18" spans="3:9" x14ac:dyDescent="0.25">
      <c r="G18" s="4" t="s">
        <v>13</v>
      </c>
      <c r="H18" s="1">
        <v>75</v>
      </c>
    </row>
    <row r="19" spans="3:9" x14ac:dyDescent="0.25">
      <c r="G19" s="4" t="s">
        <v>11</v>
      </c>
      <c r="H19" s="1">
        <v>96</v>
      </c>
    </row>
    <row r="20" spans="3:9" x14ac:dyDescent="0.25">
      <c r="G20" s="4" t="s">
        <v>311</v>
      </c>
      <c r="H20" s="1">
        <v>0.3</v>
      </c>
    </row>
    <row r="21" spans="3:9" x14ac:dyDescent="0.25">
      <c r="H21" s="1"/>
    </row>
    <row r="22" spans="3:9" x14ac:dyDescent="0.25">
      <c r="G22" s="24" t="s">
        <v>49</v>
      </c>
      <c r="H22" s="67">
        <f>SQRT((2*H17*H18)/(H19*H20))</f>
        <v>30.618621784789728</v>
      </c>
      <c r="I22" s="11" t="s">
        <v>127</v>
      </c>
    </row>
    <row r="24" spans="3:9" x14ac:dyDescent="0.25">
      <c r="G24" s="15" t="s">
        <v>59</v>
      </c>
      <c r="H24" s="175">
        <f>H22/H17</f>
        <v>0.17010345435994292</v>
      </c>
    </row>
    <row r="25" spans="3:9" x14ac:dyDescent="0.25">
      <c r="C25" s="11" t="s">
        <v>379</v>
      </c>
      <c r="D25" s="11"/>
      <c r="E25" s="11"/>
      <c r="G25" s="24" t="s">
        <v>59</v>
      </c>
      <c r="H25" s="176">
        <f>H24*360</f>
        <v>61.237243569579455</v>
      </c>
      <c r="I25" s="11" t="s">
        <v>61</v>
      </c>
    </row>
    <row r="26" spans="3:9" x14ac:dyDescent="0.25">
      <c r="C26" s="11" t="s">
        <v>380</v>
      </c>
      <c r="D26" s="11"/>
      <c r="E26" s="11"/>
    </row>
    <row r="27" spans="3:9" x14ac:dyDescent="0.25">
      <c r="G27" s="4" t="s">
        <v>312</v>
      </c>
      <c r="H27" s="1">
        <v>1.28</v>
      </c>
    </row>
    <row r="28" spans="3:9" x14ac:dyDescent="0.25">
      <c r="D28" s="3"/>
      <c r="G28" s="15" t="s">
        <v>56</v>
      </c>
      <c r="H28" s="21">
        <f>H27*L15*SQRT(E15+H25)</f>
        <v>1.7230842813622753</v>
      </c>
    </row>
    <row r="30" spans="3:9" ht="18.75" x14ac:dyDescent="0.3">
      <c r="G30" s="26" t="s">
        <v>56</v>
      </c>
      <c r="H30" s="108">
        <v>2</v>
      </c>
    </row>
    <row r="32" spans="3:9" ht="18.75" x14ac:dyDescent="0.3">
      <c r="G32" s="80" t="s">
        <v>101</v>
      </c>
      <c r="H32" s="141">
        <f>(L13/24)*(E15+H25)+H30</f>
        <v>34.618621784789724</v>
      </c>
      <c r="I32" s="73" t="s">
        <v>127</v>
      </c>
    </row>
    <row r="34" spans="5:9" ht="15.75" x14ac:dyDescent="0.25">
      <c r="E34" s="19" t="s">
        <v>138</v>
      </c>
      <c r="F34" s="12"/>
      <c r="G34" s="12"/>
      <c r="H34" s="239">
        <f>(H17/H22)*H18</f>
        <v>440.90815370097209</v>
      </c>
    </row>
    <row r="35" spans="5:9" ht="15.75" x14ac:dyDescent="0.25">
      <c r="E35" s="19" t="s">
        <v>140</v>
      </c>
      <c r="F35" s="12"/>
      <c r="G35" s="12"/>
      <c r="H35" s="239">
        <f>((H22/2)+H28)*H19*H20</f>
        <v>490.53298100420557</v>
      </c>
    </row>
    <row r="36" spans="5:9" ht="15.75" x14ac:dyDescent="0.25">
      <c r="E36" s="71" t="s">
        <v>94</v>
      </c>
      <c r="F36" s="52"/>
      <c r="G36" s="52"/>
      <c r="H36" s="241">
        <v>0</v>
      </c>
      <c r="I36" s="240" t="s">
        <v>381</v>
      </c>
    </row>
    <row r="37" spans="5:9" ht="18.75" x14ac:dyDescent="0.3">
      <c r="E37" s="73" t="s">
        <v>141</v>
      </c>
      <c r="F37" s="74"/>
      <c r="G37" s="74"/>
      <c r="H37" s="242">
        <f>SUM(H34:H36)</f>
        <v>931.44113470517766</v>
      </c>
    </row>
  </sheetData>
  <mergeCells count="2">
    <mergeCell ref="B1:N10"/>
    <mergeCell ref="G12:H1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364F-7132-4F93-88C4-54F7C5715EEB}">
  <dimension ref="B1:O30"/>
  <sheetViews>
    <sheetView topLeftCell="A12" workbookViewId="0">
      <selection activeCell="L26" sqref="L26"/>
    </sheetView>
  </sheetViews>
  <sheetFormatPr baseColWidth="10" defaultRowHeight="15" x14ac:dyDescent="0.25"/>
  <cols>
    <col min="1" max="1" width="7.42578125" customWidth="1"/>
    <col min="8" max="8" width="14" customWidth="1"/>
    <col min="11" max="11" width="13.7109375" customWidth="1"/>
    <col min="12" max="12" width="13" customWidth="1"/>
  </cols>
  <sheetData>
    <row r="1" spans="2:15" ht="15" customHeight="1" x14ac:dyDescent="0.25">
      <c r="B1" s="271" t="s">
        <v>313</v>
      </c>
      <c r="C1" s="271"/>
      <c r="D1" s="271"/>
      <c r="E1" s="271"/>
      <c r="F1" s="271"/>
      <c r="G1" s="271"/>
      <c r="H1" s="271"/>
      <c r="I1" s="271"/>
      <c r="J1" s="271"/>
      <c r="K1" s="271"/>
      <c r="L1" s="271"/>
      <c r="M1" s="271"/>
      <c r="N1" s="271"/>
      <c r="O1" s="271"/>
    </row>
    <row r="2" spans="2:15" x14ac:dyDescent="0.25">
      <c r="B2" s="271"/>
      <c r="C2" s="271"/>
      <c r="D2" s="271"/>
      <c r="E2" s="271"/>
      <c r="F2" s="271"/>
      <c r="G2" s="271"/>
      <c r="H2" s="271"/>
      <c r="I2" s="271"/>
      <c r="J2" s="271"/>
      <c r="K2" s="271"/>
      <c r="L2" s="271"/>
      <c r="M2" s="271"/>
      <c r="N2" s="271"/>
      <c r="O2" s="271"/>
    </row>
    <row r="3" spans="2:15" x14ac:dyDescent="0.25">
      <c r="B3" s="271"/>
      <c r="C3" s="271"/>
      <c r="D3" s="271"/>
      <c r="E3" s="271"/>
      <c r="F3" s="271"/>
      <c r="G3" s="271"/>
      <c r="H3" s="271"/>
      <c r="I3" s="271"/>
      <c r="J3" s="271"/>
      <c r="K3" s="271"/>
      <c r="L3" s="271"/>
      <c r="M3" s="271"/>
      <c r="N3" s="271"/>
      <c r="O3" s="271"/>
    </row>
    <row r="4" spans="2:15" x14ac:dyDescent="0.25">
      <c r="B4" s="271"/>
      <c r="C4" s="271"/>
      <c r="D4" s="271"/>
      <c r="E4" s="271"/>
      <c r="F4" s="271"/>
      <c r="G4" s="271"/>
      <c r="H4" s="271"/>
      <c r="I4" s="271"/>
      <c r="J4" s="271"/>
      <c r="K4" s="271"/>
      <c r="L4" s="271"/>
      <c r="M4" s="271"/>
      <c r="N4" s="271"/>
      <c r="O4" s="271"/>
    </row>
    <row r="5" spans="2:15" x14ac:dyDescent="0.25">
      <c r="B5" s="271"/>
      <c r="C5" s="271"/>
      <c r="D5" s="271"/>
      <c r="E5" s="271"/>
      <c r="F5" s="271"/>
      <c r="G5" s="271"/>
      <c r="H5" s="271"/>
      <c r="I5" s="271"/>
      <c r="J5" s="271"/>
      <c r="K5" s="271"/>
      <c r="L5" s="271"/>
      <c r="M5" s="271"/>
      <c r="N5" s="271"/>
      <c r="O5" s="271"/>
    </row>
    <row r="6" spans="2:15" x14ac:dyDescent="0.25">
      <c r="B6" s="271"/>
      <c r="C6" s="271"/>
      <c r="D6" s="271"/>
      <c r="E6" s="271"/>
      <c r="F6" s="271"/>
      <c r="G6" s="271"/>
      <c r="H6" s="271"/>
      <c r="I6" s="271"/>
      <c r="J6" s="271"/>
      <c r="K6" s="271"/>
      <c r="L6" s="271"/>
      <c r="M6" s="271"/>
      <c r="N6" s="271"/>
      <c r="O6" s="271"/>
    </row>
    <row r="7" spans="2:15" x14ac:dyDescent="0.25">
      <c r="B7" s="271"/>
      <c r="C7" s="271"/>
      <c r="D7" s="271"/>
      <c r="E7" s="271"/>
      <c r="F7" s="271"/>
      <c r="G7" s="271"/>
      <c r="H7" s="271"/>
      <c r="I7" s="271"/>
      <c r="J7" s="271"/>
      <c r="K7" s="271"/>
      <c r="L7" s="271"/>
      <c r="M7" s="271"/>
      <c r="N7" s="271"/>
      <c r="O7" s="271"/>
    </row>
    <row r="8" spans="2:15" x14ac:dyDescent="0.25">
      <c r="B8" s="271"/>
      <c r="C8" s="271"/>
      <c r="D8" s="271"/>
      <c r="E8" s="271"/>
      <c r="F8" s="271"/>
      <c r="G8" s="271"/>
      <c r="H8" s="271"/>
      <c r="I8" s="271"/>
      <c r="J8" s="271"/>
      <c r="K8" s="271"/>
      <c r="L8" s="271"/>
      <c r="M8" s="271"/>
      <c r="N8" s="271"/>
      <c r="O8" s="271"/>
    </row>
    <row r="9" spans="2:15" x14ac:dyDescent="0.25">
      <c r="B9" s="271"/>
      <c r="C9" s="271"/>
      <c r="D9" s="271"/>
      <c r="E9" s="271"/>
      <c r="F9" s="271"/>
      <c r="G9" s="271"/>
      <c r="H9" s="271"/>
      <c r="I9" s="271"/>
      <c r="J9" s="271"/>
      <c r="K9" s="271"/>
      <c r="L9" s="271"/>
      <c r="M9" s="271"/>
      <c r="N9" s="271"/>
      <c r="O9" s="271"/>
    </row>
    <row r="10" spans="2:15" x14ac:dyDescent="0.25">
      <c r="B10" s="63"/>
      <c r="C10" s="63"/>
      <c r="D10" s="63"/>
      <c r="E10" s="63"/>
      <c r="F10" s="63"/>
      <c r="G10" s="63"/>
      <c r="H10" s="63"/>
      <c r="I10" s="63"/>
      <c r="J10" s="63"/>
      <c r="K10" s="63"/>
      <c r="L10" s="63"/>
      <c r="M10" s="63"/>
      <c r="N10" s="63"/>
      <c r="O10" s="63"/>
    </row>
    <row r="11" spans="2:15" ht="15.75" thickBot="1" x14ac:dyDescent="0.3">
      <c r="B11" s="63"/>
      <c r="C11" s="63"/>
      <c r="D11" s="63"/>
      <c r="E11" s="63"/>
      <c r="F11" s="63"/>
      <c r="G11" s="63"/>
      <c r="H11" s="63"/>
      <c r="I11" s="63"/>
      <c r="J11" s="63"/>
      <c r="K11" s="63"/>
      <c r="L11" s="63"/>
      <c r="M11" s="63"/>
      <c r="N11" s="63"/>
      <c r="O11" s="63"/>
    </row>
    <row r="12" spans="2:15" ht="37.5" customHeight="1" x14ac:dyDescent="0.25">
      <c r="B12" s="63"/>
      <c r="C12" s="63"/>
      <c r="D12" s="320" t="s">
        <v>314</v>
      </c>
      <c r="E12" s="63"/>
      <c r="F12" s="63"/>
      <c r="G12" s="339" t="s">
        <v>315</v>
      </c>
      <c r="H12" s="340"/>
      <c r="I12" s="63"/>
      <c r="J12" s="63"/>
      <c r="K12" s="63"/>
      <c r="L12" s="63"/>
      <c r="M12" s="63"/>
      <c r="N12" s="63"/>
      <c r="O12" s="63"/>
    </row>
    <row r="13" spans="2:15" ht="15" customHeight="1" x14ac:dyDescent="0.25">
      <c r="B13" s="63"/>
      <c r="C13" s="63"/>
      <c r="D13" s="338"/>
      <c r="E13" s="63"/>
      <c r="F13" s="63"/>
      <c r="G13" s="341"/>
      <c r="H13" s="342"/>
      <c r="I13" s="63"/>
      <c r="J13" s="63"/>
      <c r="K13" s="138" t="s">
        <v>51</v>
      </c>
      <c r="L13" s="177">
        <v>480000</v>
      </c>
      <c r="M13" s="63" t="s">
        <v>265</v>
      </c>
      <c r="N13" s="63"/>
      <c r="O13" s="63"/>
    </row>
    <row r="14" spans="2:15" ht="15.75" customHeight="1" thickBot="1" x14ac:dyDescent="0.3">
      <c r="B14" s="63"/>
      <c r="C14" s="63"/>
      <c r="D14" s="321"/>
      <c r="E14" s="63"/>
      <c r="F14" s="63"/>
      <c r="G14" s="343"/>
      <c r="H14" s="344"/>
      <c r="I14" s="63"/>
      <c r="J14" s="63"/>
      <c r="K14" s="138" t="s">
        <v>159</v>
      </c>
      <c r="L14" s="177">
        <v>1200</v>
      </c>
      <c r="M14" s="63" t="s">
        <v>265</v>
      </c>
      <c r="N14" s="63"/>
      <c r="O14" s="63"/>
    </row>
    <row r="15" spans="2:15" x14ac:dyDescent="0.25">
      <c r="B15" s="63"/>
      <c r="C15" s="63"/>
      <c r="D15" s="63"/>
      <c r="H15" s="63"/>
      <c r="I15" s="63"/>
      <c r="J15" s="63"/>
      <c r="K15" s="178" t="s">
        <v>159</v>
      </c>
      <c r="L15" s="179">
        <f>L14/25</f>
        <v>48</v>
      </c>
      <c r="M15" s="180" t="s">
        <v>316</v>
      </c>
      <c r="N15" s="63" t="s">
        <v>294</v>
      </c>
      <c r="O15" s="63"/>
    </row>
    <row r="16" spans="2:15" x14ac:dyDescent="0.25">
      <c r="B16" s="63"/>
      <c r="C16" s="63"/>
      <c r="D16" s="4" t="s">
        <v>14</v>
      </c>
      <c r="E16" s="139">
        <v>90</v>
      </c>
      <c r="F16" s="63" t="s">
        <v>317</v>
      </c>
      <c r="G16" s="4" t="s">
        <v>51</v>
      </c>
      <c r="H16" s="177">
        <f>L13/25</f>
        <v>19200</v>
      </c>
      <c r="I16" s="63" t="s">
        <v>316</v>
      </c>
      <c r="J16" s="63"/>
      <c r="K16" s="63"/>
      <c r="L16" s="63"/>
      <c r="M16" s="63"/>
      <c r="N16" s="63"/>
      <c r="O16" s="63"/>
    </row>
    <row r="17" spans="2:15" x14ac:dyDescent="0.25">
      <c r="B17" s="63"/>
      <c r="C17" s="63"/>
      <c r="D17" s="4" t="s">
        <v>83</v>
      </c>
      <c r="E17" s="1">
        <v>8.94</v>
      </c>
      <c r="F17" s="63" t="s">
        <v>317</v>
      </c>
      <c r="G17" s="4" t="s">
        <v>13</v>
      </c>
      <c r="H17" s="139">
        <v>140</v>
      </c>
      <c r="I17" s="63"/>
      <c r="J17" s="221"/>
      <c r="K17" s="222" t="s">
        <v>159</v>
      </c>
      <c r="L17" s="223">
        <f>L15*SQRT((90+H23)/30)</f>
        <v>86.615381798611693</v>
      </c>
      <c r="M17" s="224" t="s">
        <v>316</v>
      </c>
      <c r="N17" s="63"/>
      <c r="O17" s="63"/>
    </row>
    <row r="18" spans="2:15" x14ac:dyDescent="0.25">
      <c r="G18" s="138" t="s">
        <v>129</v>
      </c>
      <c r="H18" s="139">
        <f>8*4</f>
        <v>32</v>
      </c>
      <c r="N18" s="3"/>
    </row>
    <row r="19" spans="2:15" x14ac:dyDescent="0.25">
      <c r="D19" t="s">
        <v>360</v>
      </c>
      <c r="E19" s="21">
        <f>H16/360</f>
        <v>53.333333333333336</v>
      </c>
      <c r="F19" t="s">
        <v>316</v>
      </c>
    </row>
    <row r="20" spans="2:15" x14ac:dyDescent="0.25">
      <c r="G20" s="15" t="s">
        <v>49</v>
      </c>
      <c r="H20" s="20">
        <f>SQRT((2*H16*H17)/H18)</f>
        <v>409.87803063838396</v>
      </c>
      <c r="I20" s="3" t="s">
        <v>316</v>
      </c>
    </row>
    <row r="21" spans="2:15" x14ac:dyDescent="0.25">
      <c r="D21" s="225" t="s">
        <v>83</v>
      </c>
      <c r="E21" s="226">
        <f>E19*E17</f>
        <v>476.8</v>
      </c>
      <c r="F21" s="227" t="s">
        <v>316</v>
      </c>
      <c r="G21" s="24" t="s">
        <v>49</v>
      </c>
      <c r="H21" s="66">
        <v>440</v>
      </c>
      <c r="I21" s="11" t="s">
        <v>316</v>
      </c>
      <c r="K21" s="225" t="s">
        <v>368</v>
      </c>
      <c r="L21" s="223">
        <f>SQRT(SUMSQ(L17,E21))</f>
        <v>484.60340936080843</v>
      </c>
      <c r="M21" s="224" t="s">
        <v>316</v>
      </c>
    </row>
    <row r="22" spans="2:15" x14ac:dyDescent="0.25">
      <c r="G22" s="15" t="s">
        <v>59</v>
      </c>
      <c r="H22" s="181">
        <f>H20/H16</f>
        <v>2.1347814095749165E-2</v>
      </c>
      <c r="K22" s="4"/>
    </row>
    <row r="23" spans="2:15" x14ac:dyDescent="0.25">
      <c r="G23" s="24" t="s">
        <v>59</v>
      </c>
      <c r="H23" s="67">
        <f>H22*360</f>
        <v>7.6852130744696998</v>
      </c>
      <c r="I23" s="11" t="s">
        <v>61</v>
      </c>
      <c r="K23" s="4" t="s">
        <v>56</v>
      </c>
      <c r="L23" s="200">
        <f>H24*L21</f>
        <v>799.59562544533389</v>
      </c>
      <c r="M23" t="s">
        <v>316</v>
      </c>
    </row>
    <row r="24" spans="2:15" x14ac:dyDescent="0.25">
      <c r="G24" s="4" t="s">
        <v>89</v>
      </c>
      <c r="H24" s="1">
        <v>1.65</v>
      </c>
      <c r="K24" s="4" t="s">
        <v>56</v>
      </c>
      <c r="L24" s="1">
        <v>800</v>
      </c>
      <c r="M24" t="s">
        <v>316</v>
      </c>
    </row>
    <row r="25" spans="2:15" x14ac:dyDescent="0.25">
      <c r="K25" s="4" t="s">
        <v>366</v>
      </c>
      <c r="L25" s="1">
        <f>(H20/2)+L23</f>
        <v>1004.5346407645259</v>
      </c>
      <c r="M25" t="s">
        <v>316</v>
      </c>
    </row>
    <row r="26" spans="2:15" x14ac:dyDescent="0.25">
      <c r="G26" s="15"/>
      <c r="H26" s="127"/>
      <c r="I26" s="3"/>
      <c r="K26" s="4" t="s">
        <v>101</v>
      </c>
      <c r="L26" s="1">
        <f>E19*(E16+H23)+L24</f>
        <v>6009.8780306383842</v>
      </c>
      <c r="M26" t="s">
        <v>316</v>
      </c>
    </row>
    <row r="27" spans="2:15" ht="15.75" x14ac:dyDescent="0.25">
      <c r="D27" s="19" t="s">
        <v>138</v>
      </c>
      <c r="E27" s="12"/>
      <c r="F27" s="12"/>
      <c r="H27" s="228">
        <f>(H16/H20)*H17</f>
        <v>6558.0484902141425</v>
      </c>
    </row>
    <row r="28" spans="2:15" ht="15.75" x14ac:dyDescent="0.25">
      <c r="D28" s="19" t="s">
        <v>140</v>
      </c>
      <c r="E28" s="12"/>
      <c r="F28" s="12"/>
      <c r="H28" s="228">
        <f>L25*H18</f>
        <v>32145.108504464828</v>
      </c>
    </row>
    <row r="29" spans="2:15" ht="15.75" x14ac:dyDescent="0.25">
      <c r="D29" s="71" t="s">
        <v>94</v>
      </c>
      <c r="E29" s="52"/>
      <c r="F29" s="52"/>
      <c r="G29" s="53"/>
      <c r="H29" s="229">
        <f>(H16/H20)*L21*0.05*25*0.0206</f>
        <v>584.5346851472525</v>
      </c>
    </row>
    <row r="30" spans="2:15" ht="18.75" x14ac:dyDescent="0.3">
      <c r="D30" s="73" t="s">
        <v>141</v>
      </c>
      <c r="E30" s="74"/>
      <c r="F30" s="74"/>
      <c r="H30" s="230">
        <f>SUM(H27:H29)</f>
        <v>39287.691679826217</v>
      </c>
    </row>
  </sheetData>
  <mergeCells count="3">
    <mergeCell ref="B1:O9"/>
    <mergeCell ref="D12:D14"/>
    <mergeCell ref="G12:H1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49622-2162-473F-A9F9-6B1824011B6A}">
  <dimension ref="B1:O32"/>
  <sheetViews>
    <sheetView workbookViewId="0">
      <selection activeCell="H28" sqref="H28"/>
    </sheetView>
  </sheetViews>
  <sheetFormatPr baseColWidth="10" defaultRowHeight="15" x14ac:dyDescent="0.25"/>
  <cols>
    <col min="1" max="1" width="8" customWidth="1"/>
    <col min="8" max="8" width="12.7109375" customWidth="1"/>
    <col min="11" max="11" width="13.7109375" customWidth="1"/>
    <col min="12" max="12" width="13" customWidth="1"/>
  </cols>
  <sheetData>
    <row r="1" spans="2:15" ht="15" customHeight="1" x14ac:dyDescent="0.25">
      <c r="B1" s="271" t="s">
        <v>320</v>
      </c>
      <c r="C1" s="271"/>
      <c r="D1" s="271"/>
      <c r="E1" s="271"/>
      <c r="F1" s="271"/>
      <c r="G1" s="271"/>
      <c r="H1" s="271"/>
      <c r="I1" s="271"/>
      <c r="J1" s="271"/>
      <c r="K1" s="271"/>
      <c r="L1" s="271"/>
      <c r="M1" s="271"/>
      <c r="N1" s="271"/>
      <c r="O1" s="271"/>
    </row>
    <row r="2" spans="2:15" x14ac:dyDescent="0.25">
      <c r="B2" s="271"/>
      <c r="C2" s="271"/>
      <c r="D2" s="271"/>
      <c r="E2" s="271"/>
      <c r="F2" s="271"/>
      <c r="G2" s="271"/>
      <c r="H2" s="271"/>
      <c r="I2" s="271"/>
      <c r="J2" s="271"/>
      <c r="K2" s="271"/>
      <c r="L2" s="271"/>
      <c r="M2" s="271"/>
      <c r="N2" s="271"/>
      <c r="O2" s="271"/>
    </row>
    <row r="3" spans="2:15" x14ac:dyDescent="0.25">
      <c r="B3" s="271"/>
      <c r="C3" s="271"/>
      <c r="D3" s="271"/>
      <c r="E3" s="271"/>
      <c r="F3" s="271"/>
      <c r="G3" s="271"/>
      <c r="H3" s="271"/>
      <c r="I3" s="271"/>
      <c r="J3" s="271"/>
      <c r="K3" s="271"/>
      <c r="L3" s="271"/>
      <c r="M3" s="271"/>
      <c r="N3" s="271"/>
      <c r="O3" s="271"/>
    </row>
    <row r="4" spans="2:15" x14ac:dyDescent="0.25">
      <c r="B4" s="271"/>
      <c r="C4" s="271"/>
      <c r="D4" s="271"/>
      <c r="E4" s="271"/>
      <c r="F4" s="271"/>
      <c r="G4" s="271"/>
      <c r="H4" s="271"/>
      <c r="I4" s="271"/>
      <c r="J4" s="271"/>
      <c r="K4" s="271"/>
      <c r="L4" s="271"/>
      <c r="M4" s="271"/>
      <c r="N4" s="271"/>
      <c r="O4" s="271"/>
    </row>
    <row r="5" spans="2:15" x14ac:dyDescent="0.25">
      <c r="B5" s="271"/>
      <c r="C5" s="271"/>
      <c r="D5" s="271"/>
      <c r="E5" s="271"/>
      <c r="F5" s="271"/>
      <c r="G5" s="271"/>
      <c r="H5" s="271"/>
      <c r="I5" s="271"/>
      <c r="J5" s="271"/>
      <c r="K5" s="271"/>
      <c r="L5" s="271"/>
      <c r="M5" s="271"/>
      <c r="N5" s="271"/>
      <c r="O5" s="271"/>
    </row>
    <row r="6" spans="2:15" x14ac:dyDescent="0.25">
      <c r="B6" s="271"/>
      <c r="C6" s="271"/>
      <c r="D6" s="271"/>
      <c r="E6" s="271"/>
      <c r="F6" s="271"/>
      <c r="G6" s="271"/>
      <c r="H6" s="271"/>
      <c r="I6" s="271"/>
      <c r="J6" s="271"/>
      <c r="K6" s="271"/>
      <c r="L6" s="271"/>
      <c r="M6" s="271"/>
      <c r="N6" s="271"/>
      <c r="O6" s="271"/>
    </row>
    <row r="7" spans="2:15" x14ac:dyDescent="0.25">
      <c r="B7" s="271"/>
      <c r="C7" s="271"/>
      <c r="D7" s="271"/>
      <c r="E7" s="271"/>
      <c r="F7" s="271"/>
      <c r="G7" s="271"/>
      <c r="H7" s="271"/>
      <c r="I7" s="271"/>
      <c r="J7" s="271"/>
      <c r="K7" s="271"/>
      <c r="L7" s="271"/>
      <c r="M7" s="271"/>
      <c r="N7" s="271"/>
      <c r="O7" s="271"/>
    </row>
    <row r="8" spans="2:15" x14ac:dyDescent="0.25">
      <c r="B8" s="271"/>
      <c r="C8" s="271"/>
      <c r="D8" s="271"/>
      <c r="E8" s="271"/>
      <c r="F8" s="271"/>
      <c r="G8" s="271"/>
      <c r="H8" s="271"/>
      <c r="I8" s="271"/>
      <c r="J8" s="271"/>
      <c r="K8" s="271"/>
      <c r="L8" s="271"/>
      <c r="M8" s="271"/>
      <c r="N8" s="271"/>
      <c r="O8" s="271"/>
    </row>
    <row r="9" spans="2:15" x14ac:dyDescent="0.25">
      <c r="B9" s="271"/>
      <c r="C9" s="271"/>
      <c r="D9" s="271"/>
      <c r="E9" s="271"/>
      <c r="F9" s="271"/>
      <c r="G9" s="271"/>
      <c r="H9" s="271"/>
      <c r="I9" s="271"/>
      <c r="J9" s="271"/>
      <c r="K9" s="271"/>
      <c r="L9" s="271"/>
      <c r="M9" s="271"/>
      <c r="N9" s="271"/>
      <c r="O9" s="271"/>
    </row>
    <row r="10" spans="2:15" x14ac:dyDescent="0.25">
      <c r="B10" s="63"/>
      <c r="C10" s="63"/>
      <c r="D10" s="63"/>
      <c r="E10" s="63"/>
      <c r="F10" s="63"/>
      <c r="G10" s="63"/>
      <c r="H10" s="63"/>
      <c r="I10" s="63"/>
      <c r="J10" s="63"/>
      <c r="K10" s="63"/>
      <c r="L10" s="63"/>
      <c r="M10" s="63"/>
      <c r="N10" s="63"/>
      <c r="O10" s="63"/>
    </row>
    <row r="11" spans="2:15" ht="15.75" thickBot="1" x14ac:dyDescent="0.3">
      <c r="B11" s="63"/>
      <c r="C11" s="63"/>
      <c r="D11" s="63"/>
      <c r="E11" s="63"/>
      <c r="F11" s="63"/>
      <c r="G11" s="63"/>
      <c r="H11" s="63"/>
      <c r="I11" s="63"/>
      <c r="J11" s="63"/>
      <c r="K11" s="63"/>
      <c r="L11" s="63"/>
      <c r="M11" s="63"/>
      <c r="N11" s="63"/>
      <c r="O11" s="63"/>
    </row>
    <row r="12" spans="2:15" ht="37.5" customHeight="1" x14ac:dyDescent="0.25">
      <c r="B12" s="63"/>
      <c r="C12" s="63"/>
      <c r="D12" s="320" t="s">
        <v>314</v>
      </c>
      <c r="E12" s="63"/>
      <c r="F12" s="63"/>
      <c r="G12" s="339" t="s">
        <v>315</v>
      </c>
      <c r="H12" s="340"/>
      <c r="I12" s="63"/>
      <c r="J12" s="63"/>
      <c r="K12" s="63"/>
      <c r="L12" s="63"/>
      <c r="M12" s="63"/>
      <c r="N12" s="63"/>
      <c r="O12" s="63"/>
    </row>
    <row r="13" spans="2:15" ht="15" customHeight="1" x14ac:dyDescent="0.25">
      <c r="B13" s="63"/>
      <c r="C13" s="63"/>
      <c r="D13" s="338"/>
      <c r="E13" s="63"/>
      <c r="F13" s="63"/>
      <c r="G13" s="341"/>
      <c r="H13" s="342"/>
      <c r="I13" s="63"/>
      <c r="J13" s="63"/>
      <c r="K13" s="138" t="s">
        <v>51</v>
      </c>
      <c r="L13" s="177">
        <v>480000</v>
      </c>
      <c r="M13" s="63" t="s">
        <v>265</v>
      </c>
      <c r="N13" s="63"/>
      <c r="O13" s="63"/>
    </row>
    <row r="14" spans="2:15" ht="15.75" customHeight="1" thickBot="1" x14ac:dyDescent="0.3">
      <c r="B14" s="63"/>
      <c r="C14" s="63"/>
      <c r="D14" s="321"/>
      <c r="E14" s="63"/>
      <c r="F14" s="63"/>
      <c r="G14" s="343"/>
      <c r="H14" s="344"/>
      <c r="I14" s="63"/>
      <c r="J14" s="63"/>
      <c r="K14" s="138" t="s">
        <v>159</v>
      </c>
      <c r="L14" s="177">
        <v>1200</v>
      </c>
      <c r="M14" s="63" t="s">
        <v>265</v>
      </c>
      <c r="N14" s="63"/>
      <c r="O14" s="63"/>
    </row>
    <row r="15" spans="2:15" x14ac:dyDescent="0.25">
      <c r="B15" s="63"/>
      <c r="C15" s="63"/>
      <c r="D15" s="63"/>
      <c r="H15" s="63"/>
      <c r="I15" s="63"/>
      <c r="J15" s="63"/>
      <c r="K15" s="178" t="s">
        <v>159</v>
      </c>
      <c r="L15" s="179">
        <f>L14/25</f>
        <v>48</v>
      </c>
      <c r="M15" s="180" t="s">
        <v>316</v>
      </c>
      <c r="N15" s="63" t="s">
        <v>294</v>
      </c>
      <c r="O15" s="63"/>
    </row>
    <row r="16" spans="2:15" x14ac:dyDescent="0.25">
      <c r="B16" s="63"/>
      <c r="C16" s="63"/>
      <c r="D16" s="4" t="s">
        <v>14</v>
      </c>
      <c r="E16" s="139">
        <v>90</v>
      </c>
      <c r="F16" s="63" t="s">
        <v>317</v>
      </c>
      <c r="G16" s="4" t="s">
        <v>51</v>
      </c>
      <c r="H16" s="177">
        <f>L13/25</f>
        <v>19200</v>
      </c>
      <c r="I16" s="63" t="s">
        <v>316</v>
      </c>
      <c r="J16" s="63"/>
      <c r="K16" s="63"/>
      <c r="L16" s="63"/>
      <c r="M16" s="63"/>
      <c r="N16" s="63"/>
      <c r="O16" s="63"/>
    </row>
    <row r="17" spans="2:15" x14ac:dyDescent="0.25">
      <c r="B17" s="63"/>
      <c r="C17" s="63"/>
      <c r="D17" s="4" t="s">
        <v>83</v>
      </c>
      <c r="E17" s="1">
        <v>8.94</v>
      </c>
      <c r="F17" s="63" t="s">
        <v>317</v>
      </c>
      <c r="G17" s="4" t="s">
        <v>13</v>
      </c>
      <c r="H17" s="139">
        <v>140</v>
      </c>
      <c r="I17" s="63"/>
      <c r="J17" s="63"/>
      <c r="K17" s="63"/>
      <c r="L17" s="63"/>
      <c r="M17" s="63"/>
      <c r="N17" s="63"/>
      <c r="O17" s="63"/>
    </row>
    <row r="18" spans="2:15" x14ac:dyDescent="0.25">
      <c r="G18" s="138" t="s">
        <v>129</v>
      </c>
      <c r="H18" s="139">
        <v>24</v>
      </c>
      <c r="N18" s="3"/>
    </row>
    <row r="20" spans="2:15" x14ac:dyDescent="0.25">
      <c r="G20" s="24" t="s">
        <v>49</v>
      </c>
      <c r="H20" s="66">
        <f>SQRT((2*H16*H17)/H18)</f>
        <v>473.28638264796928</v>
      </c>
      <c r="I20" s="11" t="s">
        <v>316</v>
      </c>
    </row>
    <row r="22" spans="2:15" x14ac:dyDescent="0.25">
      <c r="G22" s="15" t="s">
        <v>59</v>
      </c>
      <c r="H22" s="181">
        <f>H20/H16</f>
        <v>2.4650332429581732E-2</v>
      </c>
    </row>
    <row r="23" spans="2:15" x14ac:dyDescent="0.25">
      <c r="G23" s="24" t="s">
        <v>59</v>
      </c>
      <c r="H23" s="67">
        <f>H22*360</f>
        <v>8.8741196746494229</v>
      </c>
      <c r="I23" s="11" t="s">
        <v>61</v>
      </c>
    </row>
    <row r="24" spans="2:15" x14ac:dyDescent="0.25">
      <c r="G24" s="4" t="s">
        <v>89</v>
      </c>
      <c r="H24" s="1">
        <v>1.65</v>
      </c>
    </row>
    <row r="26" spans="2:15" x14ac:dyDescent="0.25">
      <c r="F26" s="12"/>
      <c r="G26" s="24" t="s">
        <v>134</v>
      </c>
      <c r="H26" s="66">
        <f>SQRT(POWER(L15*SQRT((90+H23)/30),2)+POWER((H16/360)*E17,2))</f>
        <v>484.6976092276638</v>
      </c>
      <c r="I26" s="11" t="s">
        <v>316</v>
      </c>
    </row>
    <row r="27" spans="2:15" x14ac:dyDescent="0.25">
      <c r="G27" s="15"/>
      <c r="H27" s="127"/>
      <c r="I27" s="3"/>
    </row>
    <row r="28" spans="2:15" x14ac:dyDescent="0.25">
      <c r="G28" s="15" t="s">
        <v>137</v>
      </c>
      <c r="H28" s="182">
        <f>0.05*25</f>
        <v>1.25</v>
      </c>
      <c r="I28" s="3"/>
      <c r="J28" t="s">
        <v>318</v>
      </c>
    </row>
    <row r="29" spans="2:15" x14ac:dyDescent="0.25">
      <c r="G29" s="15"/>
      <c r="H29" s="182"/>
      <c r="I29" s="3"/>
    </row>
    <row r="30" spans="2:15" x14ac:dyDescent="0.25">
      <c r="G30" s="15" t="s">
        <v>208</v>
      </c>
      <c r="H30" s="5">
        <v>2.06E-2</v>
      </c>
      <c r="I30" s="3"/>
    </row>
    <row r="32" spans="2:15" ht="21" x14ac:dyDescent="0.35">
      <c r="E32" s="173" t="s">
        <v>319</v>
      </c>
      <c r="F32" s="173"/>
      <c r="G32" s="173"/>
      <c r="H32" s="345">
        <f>(H16/H20)*H26*H28*H30</f>
        <v>506.320288915638</v>
      </c>
      <c r="I32" s="345"/>
    </row>
  </sheetData>
  <mergeCells count="4">
    <mergeCell ref="B1:O9"/>
    <mergeCell ref="D12:D14"/>
    <mergeCell ref="G12:H14"/>
    <mergeCell ref="H32:I3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F4BBB-E2B2-49B3-A087-AE4399B65F2B}">
  <dimension ref="A1:J13"/>
  <sheetViews>
    <sheetView zoomScale="130" zoomScaleNormal="130" workbookViewId="0">
      <selection activeCell="I11" sqref="I11"/>
    </sheetView>
  </sheetViews>
  <sheetFormatPr baseColWidth="10" defaultRowHeight="15" x14ac:dyDescent="0.25"/>
  <cols>
    <col min="1" max="1" width="7.7109375" customWidth="1"/>
    <col min="6" max="6" width="14.140625" customWidth="1"/>
  </cols>
  <sheetData>
    <row r="1" spans="1:10" ht="18.75" x14ac:dyDescent="0.3">
      <c r="B1" s="183" t="s">
        <v>321</v>
      </c>
    </row>
    <row r="2" spans="1:10" ht="30" x14ac:dyDescent="0.25">
      <c r="C2" s="30" t="s">
        <v>66</v>
      </c>
      <c r="D2" t="s">
        <v>107</v>
      </c>
      <c r="F2" s="28" t="s">
        <v>68</v>
      </c>
      <c r="G2" t="s">
        <v>108</v>
      </c>
    </row>
    <row r="3" spans="1:10" x14ac:dyDescent="0.25">
      <c r="C3" s="16">
        <v>234</v>
      </c>
      <c r="F3" s="16">
        <f>C3*2</f>
        <v>468</v>
      </c>
    </row>
    <row r="4" spans="1:10" x14ac:dyDescent="0.25">
      <c r="C4" s="16">
        <v>158</v>
      </c>
      <c r="F4" s="16">
        <f t="shared" ref="F4:F11" si="0">C4*2</f>
        <v>316</v>
      </c>
    </row>
    <row r="5" spans="1:10" x14ac:dyDescent="0.25">
      <c r="C5" s="16">
        <v>267</v>
      </c>
      <c r="F5" s="16">
        <f t="shared" si="0"/>
        <v>534</v>
      </c>
    </row>
    <row r="6" spans="1:10" ht="15.75" customHeight="1" x14ac:dyDescent="0.25">
      <c r="C6" s="16">
        <v>320</v>
      </c>
      <c r="F6" s="16">
        <f t="shared" si="0"/>
        <v>640</v>
      </c>
      <c r="H6" s="346" t="s">
        <v>69</v>
      </c>
      <c r="I6" s="346"/>
      <c r="J6" s="346"/>
    </row>
    <row r="7" spans="1:10" x14ac:dyDescent="0.25">
      <c r="C7" s="16">
        <v>128</v>
      </c>
      <c r="F7" s="16">
        <f t="shared" si="0"/>
        <v>256</v>
      </c>
      <c r="H7" s="346"/>
      <c r="I7" s="346"/>
      <c r="J7" s="346"/>
    </row>
    <row r="8" spans="1:10" x14ac:dyDescent="0.25">
      <c r="C8" s="16">
        <v>220</v>
      </c>
      <c r="F8" s="16">
        <f t="shared" si="0"/>
        <v>440</v>
      </c>
      <c r="H8" s="346"/>
      <c r="I8" s="346"/>
      <c r="J8" s="346"/>
    </row>
    <row r="9" spans="1:10" x14ac:dyDescent="0.25">
      <c r="C9" s="16">
        <v>180</v>
      </c>
      <c r="F9" s="16">
        <f t="shared" si="0"/>
        <v>360</v>
      </c>
    </row>
    <row r="10" spans="1:10" x14ac:dyDescent="0.25">
      <c r="C10" s="16">
        <v>310</v>
      </c>
      <c r="F10" s="16">
        <f t="shared" si="0"/>
        <v>620</v>
      </c>
    </row>
    <row r="11" spans="1:10" x14ac:dyDescent="0.25">
      <c r="C11" s="16">
        <v>246</v>
      </c>
      <c r="F11" s="16">
        <f t="shared" si="0"/>
        <v>492</v>
      </c>
    </row>
    <row r="12" spans="1:10" x14ac:dyDescent="0.25">
      <c r="C12" s="1"/>
      <c r="F12" s="1"/>
    </row>
    <row r="13" spans="1:10" ht="18.75" x14ac:dyDescent="0.3">
      <c r="A13" s="12"/>
      <c r="B13" s="26" t="s">
        <v>67</v>
      </c>
      <c r="C13" s="31">
        <f>STDEV(C3:C11)</f>
        <v>65.501484291918487</v>
      </c>
      <c r="E13" s="29" t="s">
        <v>67</v>
      </c>
      <c r="F13" s="31">
        <f>STDEV(F3:F11)</f>
        <v>131.00296858383697</v>
      </c>
    </row>
  </sheetData>
  <mergeCells count="1">
    <mergeCell ref="H6:J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CE824-2880-4245-AF58-6ED3B6DDD19C}">
  <dimension ref="B1:O78"/>
  <sheetViews>
    <sheetView topLeftCell="A45" zoomScale="110" zoomScaleNormal="110" workbookViewId="0">
      <selection activeCell="M49" sqref="M49"/>
    </sheetView>
  </sheetViews>
  <sheetFormatPr baseColWidth="10" defaultRowHeight="15" x14ac:dyDescent="0.25"/>
  <cols>
    <col min="1" max="1" width="8.28515625" customWidth="1"/>
    <col min="3" max="3" width="12.7109375" bestFit="1" customWidth="1"/>
    <col min="7" max="7" width="14.5703125" customWidth="1"/>
    <col min="13" max="13" width="9.28515625" customWidth="1"/>
    <col min="14" max="14" width="8.140625" customWidth="1"/>
  </cols>
  <sheetData>
    <row r="1" spans="2:14" ht="21.75" customHeight="1" x14ac:dyDescent="0.25">
      <c r="B1" s="252" t="s">
        <v>240</v>
      </c>
      <c r="C1" s="258"/>
      <c r="D1" s="258"/>
      <c r="E1" s="258"/>
      <c r="F1" s="258"/>
      <c r="G1" s="258"/>
      <c r="H1" s="258"/>
      <c r="I1" s="258"/>
      <c r="J1" s="258"/>
      <c r="K1" s="258"/>
      <c r="L1" s="258"/>
      <c r="M1" s="258"/>
      <c r="N1" s="258"/>
    </row>
    <row r="2" spans="2:14" ht="24.75" customHeight="1" x14ac:dyDescent="0.25">
      <c r="B2" s="258"/>
      <c r="C2" s="258"/>
      <c r="D2" s="258"/>
      <c r="E2" s="258"/>
      <c r="F2" s="258"/>
      <c r="G2" s="258"/>
      <c r="H2" s="258"/>
      <c r="I2" s="258"/>
      <c r="J2" s="258"/>
      <c r="K2" s="258"/>
      <c r="L2" s="258"/>
      <c r="M2" s="258"/>
      <c r="N2" s="258"/>
    </row>
    <row r="4" spans="2:14" ht="45" x14ac:dyDescent="0.25">
      <c r="C4" s="132" t="s">
        <v>23</v>
      </c>
      <c r="D4" s="133" t="s">
        <v>24</v>
      </c>
      <c r="E4" s="132" t="s">
        <v>25</v>
      </c>
      <c r="G4" s="211" t="s">
        <v>70</v>
      </c>
    </row>
    <row r="5" spans="2:14" x14ac:dyDescent="0.25">
      <c r="C5" s="130" t="s">
        <v>26</v>
      </c>
      <c r="D5" s="131">
        <v>299200</v>
      </c>
      <c r="E5" s="131">
        <v>15300</v>
      </c>
      <c r="G5" s="184">
        <f>E5/0.85</f>
        <v>18000</v>
      </c>
    </row>
    <row r="6" spans="2:14" x14ac:dyDescent="0.25">
      <c r="C6" s="130" t="s">
        <v>27</v>
      </c>
      <c r="D6" s="131">
        <v>149600</v>
      </c>
      <c r="E6" s="131">
        <v>5950</v>
      </c>
      <c r="G6" s="184">
        <f>E6/0.85</f>
        <v>7000</v>
      </c>
    </row>
    <row r="7" spans="2:14" x14ac:dyDescent="0.25">
      <c r="D7" s="6"/>
    </row>
    <row r="8" spans="2:14" x14ac:dyDescent="0.25">
      <c r="B8" s="252" t="s">
        <v>241</v>
      </c>
      <c r="C8" s="258"/>
      <c r="D8" s="258"/>
      <c r="E8" s="258"/>
      <c r="F8" s="258"/>
      <c r="G8" s="258"/>
      <c r="H8" s="258"/>
      <c r="I8" s="258"/>
      <c r="J8" s="258"/>
      <c r="K8" s="258"/>
      <c r="L8" s="258"/>
      <c r="M8" s="258"/>
      <c r="N8" s="258"/>
    </row>
    <row r="9" spans="2:14" x14ac:dyDescent="0.25">
      <c r="B9" s="258"/>
      <c r="C9" s="258"/>
      <c r="D9" s="258"/>
      <c r="E9" s="258"/>
      <c r="F9" s="258"/>
      <c r="G9" s="258"/>
      <c r="H9" s="258"/>
      <c r="I9" s="258"/>
      <c r="J9" s="258"/>
      <c r="K9" s="258"/>
      <c r="L9" s="258"/>
      <c r="M9" s="258"/>
      <c r="N9" s="258"/>
    </row>
    <row r="10" spans="2:14" x14ac:dyDescent="0.25">
      <c r="B10" s="258"/>
      <c r="C10" s="258"/>
      <c r="D10" s="258"/>
      <c r="E10" s="258"/>
      <c r="F10" s="258"/>
      <c r="G10" s="258"/>
      <c r="H10" s="258"/>
      <c r="I10" s="258"/>
      <c r="J10" s="258"/>
      <c r="K10" s="258"/>
      <c r="L10" s="258"/>
      <c r="M10" s="258"/>
      <c r="N10" s="258"/>
    </row>
    <row r="12" spans="2:14" x14ac:dyDescent="0.25">
      <c r="B12" s="7" t="s">
        <v>28</v>
      </c>
      <c r="G12" s="5" t="s">
        <v>326</v>
      </c>
    </row>
    <row r="13" spans="2:14" x14ac:dyDescent="0.25">
      <c r="B13" s="7" t="s">
        <v>29</v>
      </c>
      <c r="I13" s="268" t="s">
        <v>95</v>
      </c>
      <c r="J13" s="268"/>
      <c r="K13" s="268"/>
      <c r="L13" s="268"/>
      <c r="M13" s="268"/>
      <c r="N13" s="268"/>
    </row>
    <row r="14" spans="2:14" x14ac:dyDescent="0.25">
      <c r="B14" s="7" t="s">
        <v>30</v>
      </c>
      <c r="I14" s="268"/>
      <c r="J14" s="268"/>
      <c r="K14" s="268"/>
      <c r="L14" s="268"/>
      <c r="M14" s="268"/>
      <c r="N14" s="268"/>
    </row>
    <row r="15" spans="2:14" x14ac:dyDescent="0.25">
      <c r="B15" s="7" t="s">
        <v>31</v>
      </c>
      <c r="G15">
        <v>0.3</v>
      </c>
    </row>
    <row r="16" spans="2:14" x14ac:dyDescent="0.25">
      <c r="B16" s="14" t="s">
        <v>32</v>
      </c>
      <c r="C16" s="11"/>
      <c r="D16" s="11"/>
      <c r="E16" s="11"/>
      <c r="F16" s="11"/>
      <c r="G16" s="1" t="s">
        <v>327</v>
      </c>
    </row>
    <row r="17" spans="2:14" x14ac:dyDescent="0.25">
      <c r="B17" s="7" t="s">
        <v>33</v>
      </c>
    </row>
    <row r="19" spans="2:14" x14ac:dyDescent="0.25">
      <c r="B19" s="7" t="s">
        <v>34</v>
      </c>
    </row>
    <row r="20" spans="2:14" x14ac:dyDescent="0.25">
      <c r="B20" s="14" t="s">
        <v>35</v>
      </c>
      <c r="C20" s="11"/>
      <c r="D20" s="11"/>
      <c r="E20" s="11"/>
      <c r="F20" s="11"/>
      <c r="G20" s="11"/>
    </row>
    <row r="22" spans="2:14" ht="18.75" x14ac:dyDescent="0.3">
      <c r="B22" s="41" t="s">
        <v>4</v>
      </c>
    </row>
    <row r="23" spans="2:14" ht="21" x14ac:dyDescent="0.35">
      <c r="B23" s="29" t="s">
        <v>71</v>
      </c>
      <c r="C23" s="32">
        <f>((D5+D6)/0.85)*12</f>
        <v>6336000</v>
      </c>
      <c r="D23" s="22" t="s">
        <v>72</v>
      </c>
      <c r="F23" s="33" t="s">
        <v>49</v>
      </c>
      <c r="G23" s="34">
        <f>SQRT((2*C23*C24)/(C25*C26))</f>
        <v>150427.96092672209</v>
      </c>
      <c r="H23" s="31" t="s">
        <v>73</v>
      </c>
      <c r="I23" s="12"/>
    </row>
    <row r="24" spans="2:14" ht="18.75" x14ac:dyDescent="0.3">
      <c r="B24" s="29" t="s">
        <v>13</v>
      </c>
      <c r="C24" s="35">
        <v>75</v>
      </c>
    </row>
    <row r="25" spans="2:14" ht="18.75" x14ac:dyDescent="0.3">
      <c r="B25" s="29" t="s">
        <v>12</v>
      </c>
      <c r="C25" s="35">
        <v>0.3</v>
      </c>
      <c r="D25" s="22" t="s">
        <v>74</v>
      </c>
    </row>
    <row r="26" spans="2:14" ht="18.75" x14ac:dyDescent="0.3">
      <c r="B26" s="29" t="s">
        <v>11</v>
      </c>
      <c r="C26" s="35">
        <v>0.14000000000000001</v>
      </c>
      <c r="D26" s="22" t="s">
        <v>76</v>
      </c>
      <c r="G26" s="36" t="s">
        <v>86</v>
      </c>
    </row>
    <row r="27" spans="2:14" ht="18.75" x14ac:dyDescent="0.3">
      <c r="B27" s="29"/>
      <c r="C27" s="35"/>
      <c r="D27" s="22"/>
      <c r="G27" s="11" t="s">
        <v>85</v>
      </c>
      <c r="H27" s="12"/>
      <c r="I27" s="12"/>
      <c r="J27" s="12"/>
      <c r="K27" s="12"/>
      <c r="L27" s="12"/>
      <c r="M27" s="12"/>
      <c r="N27" s="12"/>
    </row>
    <row r="28" spans="2:14" ht="19.5" thickBot="1" x14ac:dyDescent="0.35">
      <c r="B28" s="29"/>
      <c r="C28" s="35"/>
      <c r="D28" s="22"/>
    </row>
    <row r="29" spans="2:14" ht="18.75" x14ac:dyDescent="0.3">
      <c r="B29" s="42" t="s">
        <v>81</v>
      </c>
      <c r="C29" s="35"/>
      <c r="D29" s="22"/>
      <c r="G29" s="265" t="s">
        <v>82</v>
      </c>
      <c r="I29" s="6">
        <f>G5</f>
        <v>18000</v>
      </c>
    </row>
    <row r="30" spans="2:14" ht="19.5" thickBot="1" x14ac:dyDescent="0.35">
      <c r="B30" s="29"/>
      <c r="C30" s="35"/>
      <c r="D30" s="22"/>
      <c r="G30" s="266"/>
      <c r="I30" s="6">
        <f>G6</f>
        <v>7000</v>
      </c>
    </row>
    <row r="31" spans="2:14" ht="18.75" x14ac:dyDescent="0.3">
      <c r="B31" s="29"/>
      <c r="C31" s="35"/>
      <c r="D31" s="22"/>
      <c r="E31" s="24" t="s">
        <v>14</v>
      </c>
      <c r="F31" s="62">
        <v>1</v>
      </c>
      <c r="G31" s="11" t="s">
        <v>84</v>
      </c>
      <c r="I31" s="5" t="s">
        <v>67</v>
      </c>
      <c r="J31" s="43">
        <f>SQRT(POWER(I29,2)+POWER(I30,2))</f>
        <v>19313.207915827967</v>
      </c>
      <c r="K31" t="s">
        <v>87</v>
      </c>
    </row>
    <row r="32" spans="2:14" ht="18.75" x14ac:dyDescent="0.3">
      <c r="B32" s="29"/>
      <c r="C32" s="35"/>
      <c r="D32" s="22"/>
      <c r="E32" s="4" t="s">
        <v>83</v>
      </c>
      <c r="F32" s="1">
        <v>0.7</v>
      </c>
      <c r="G32" t="s">
        <v>61</v>
      </c>
      <c r="K32" t="s">
        <v>88</v>
      </c>
    </row>
    <row r="33" spans="2:9" ht="18.75" x14ac:dyDescent="0.3">
      <c r="B33" s="29"/>
      <c r="C33" s="35"/>
      <c r="D33" s="22"/>
      <c r="E33" s="4"/>
      <c r="F33" s="1" t="s">
        <v>89</v>
      </c>
      <c r="G33" s="45">
        <v>1.65</v>
      </c>
    </row>
    <row r="34" spans="2:9" ht="18.75" x14ac:dyDescent="0.3">
      <c r="B34" s="29"/>
      <c r="C34" s="35"/>
      <c r="D34" s="22"/>
      <c r="E34" s="37"/>
      <c r="F34" s="46" t="s">
        <v>90</v>
      </c>
      <c r="G34" s="47">
        <f>4*12*6</f>
        <v>288</v>
      </c>
      <c r="H34" s="37" t="s">
        <v>61</v>
      </c>
      <c r="I34" s="48" t="s">
        <v>97</v>
      </c>
    </row>
    <row r="35" spans="2:9" ht="21" x14ac:dyDescent="0.35">
      <c r="B35" s="29"/>
      <c r="C35" s="35"/>
      <c r="D35" s="22"/>
      <c r="E35" s="3"/>
      <c r="F35" s="15" t="s">
        <v>96</v>
      </c>
      <c r="G35" s="34">
        <f>SQRT(POWER(C23/(288)*F32,2)+POWER(J31*SQRT(1/4),2))</f>
        <v>18177.183500201561</v>
      </c>
      <c r="H35" s="3"/>
      <c r="I35" s="48"/>
    </row>
    <row r="36" spans="2:9" ht="15" customHeight="1" x14ac:dyDescent="0.3">
      <c r="B36" s="29"/>
      <c r="C36" s="35"/>
      <c r="D36" s="22"/>
      <c r="E36" s="3"/>
      <c r="F36" s="15"/>
      <c r="G36" s="5"/>
      <c r="H36" s="3"/>
      <c r="I36" s="48"/>
    </row>
    <row r="37" spans="2:9" ht="21" x14ac:dyDescent="0.35">
      <c r="B37" s="29"/>
      <c r="C37" s="35"/>
      <c r="D37" s="22"/>
      <c r="F37" s="33" t="s">
        <v>56</v>
      </c>
      <c r="G37" s="34">
        <f>G33*SQRT(POWER(C23/(288)*F32,2)+POWER(J31*SQRT(1/4),2))</f>
        <v>29992.352775332576</v>
      </c>
      <c r="H37" s="31" t="s">
        <v>73</v>
      </c>
      <c r="I37" s="12"/>
    </row>
    <row r="38" spans="2:9" ht="21" x14ac:dyDescent="0.35">
      <c r="B38" s="29"/>
      <c r="C38" s="35"/>
      <c r="D38" s="22"/>
      <c r="F38" s="44"/>
    </row>
    <row r="39" spans="2:9" ht="21" x14ac:dyDescent="0.35">
      <c r="B39" s="42" t="s">
        <v>91</v>
      </c>
      <c r="C39" s="35"/>
      <c r="D39" s="22"/>
      <c r="F39" s="44"/>
    </row>
    <row r="40" spans="2:9" ht="21" x14ac:dyDescent="0.35">
      <c r="B40" s="29"/>
      <c r="C40" s="35"/>
      <c r="D40" s="22"/>
      <c r="E40" s="12"/>
      <c r="F40" s="33" t="s">
        <v>57</v>
      </c>
      <c r="G40" s="34">
        <f>(G23/2)+G37</f>
        <v>105206.33323869362</v>
      </c>
      <c r="H40" s="31" t="s">
        <v>73</v>
      </c>
      <c r="I40" s="12"/>
    </row>
    <row r="41" spans="2:9" ht="21" x14ac:dyDescent="0.35">
      <c r="B41" s="29"/>
      <c r="C41" s="35"/>
      <c r="D41" s="22"/>
      <c r="F41" s="44"/>
    </row>
    <row r="42" spans="2:9" ht="21" x14ac:dyDescent="0.35">
      <c r="B42" s="29"/>
      <c r="C42" s="35"/>
      <c r="D42" s="22"/>
      <c r="F42" s="33" t="s">
        <v>77</v>
      </c>
      <c r="G42" s="34">
        <f>(C23/48)*F31+G37</f>
        <v>161992.35277533258</v>
      </c>
      <c r="I42" t="s">
        <v>342</v>
      </c>
    </row>
    <row r="43" spans="2:9" ht="21" x14ac:dyDescent="0.35">
      <c r="B43" s="129" t="s">
        <v>95</v>
      </c>
      <c r="C43" s="35"/>
      <c r="D43" s="22"/>
      <c r="F43" s="44"/>
    </row>
    <row r="44" spans="2:9" ht="21" x14ac:dyDescent="0.35">
      <c r="B44" s="29"/>
      <c r="C44" s="35"/>
      <c r="D44" s="22"/>
      <c r="F44" s="44"/>
    </row>
    <row r="52" spans="2:15" x14ac:dyDescent="0.25">
      <c r="M52" s="267" t="s">
        <v>239</v>
      </c>
      <c r="N52" s="267"/>
      <c r="O52" s="267"/>
    </row>
    <row r="53" spans="2:15" x14ac:dyDescent="0.25">
      <c r="M53" s="267"/>
      <c r="N53" s="267"/>
      <c r="O53" s="267"/>
    </row>
    <row r="54" spans="2:15" x14ac:dyDescent="0.25">
      <c r="M54" s="267"/>
      <c r="N54" s="267"/>
      <c r="O54" s="267"/>
    </row>
    <row r="55" spans="2:15" x14ac:dyDescent="0.25">
      <c r="M55" s="267"/>
      <c r="N55" s="267"/>
      <c r="O55" s="267"/>
    </row>
    <row r="56" spans="2:15" x14ac:dyDescent="0.25">
      <c r="M56" s="267"/>
      <c r="N56" s="267"/>
      <c r="O56" s="267"/>
    </row>
    <row r="61" spans="2:15" ht="18.75" x14ac:dyDescent="0.3">
      <c r="B61" s="31" t="s">
        <v>92</v>
      </c>
      <c r="C61" s="12"/>
      <c r="D61" s="12"/>
      <c r="E61" s="12"/>
      <c r="G61" s="50">
        <f>(C23/G23)*C24</f>
        <v>3158.987179461164</v>
      </c>
    </row>
    <row r="62" spans="2:15" ht="18.75" x14ac:dyDescent="0.3">
      <c r="B62" s="31" t="s">
        <v>93</v>
      </c>
      <c r="C62" s="12"/>
      <c r="D62" s="12"/>
      <c r="E62" s="12"/>
      <c r="G62" s="50">
        <f>G40*C26*C25</f>
        <v>4418.6659960251327</v>
      </c>
    </row>
    <row r="63" spans="2:15" ht="18.75" x14ac:dyDescent="0.3">
      <c r="B63" s="51" t="s">
        <v>94</v>
      </c>
      <c r="C63" s="52"/>
      <c r="D63" s="52"/>
      <c r="E63" s="52"/>
      <c r="F63" s="53"/>
      <c r="G63" s="54">
        <f>(C23/G23)*G35*0.0206*1.5</f>
        <v>23657.653729970094</v>
      </c>
    </row>
    <row r="64" spans="2:15" ht="21" x14ac:dyDescent="0.35">
      <c r="B64" s="56" t="s">
        <v>95</v>
      </c>
      <c r="C64" s="12"/>
      <c r="D64" s="12"/>
      <c r="E64" s="12"/>
      <c r="G64" s="55">
        <f>SUM(G61:G63)</f>
        <v>31235.306905456389</v>
      </c>
    </row>
    <row r="72" spans="12:12" x14ac:dyDescent="0.25">
      <c r="L72" s="13"/>
    </row>
    <row r="73" spans="12:12" x14ac:dyDescent="0.25">
      <c r="L73" s="13"/>
    </row>
    <row r="74" spans="12:12" x14ac:dyDescent="0.25">
      <c r="L74" s="13"/>
    </row>
    <row r="75" spans="12:12" x14ac:dyDescent="0.25">
      <c r="L75" s="13"/>
    </row>
    <row r="76" spans="12:12" x14ac:dyDescent="0.25">
      <c r="L76" s="13"/>
    </row>
    <row r="78" spans="12:12" x14ac:dyDescent="0.25">
      <c r="L78" s="13"/>
    </row>
  </sheetData>
  <mergeCells count="5">
    <mergeCell ref="B1:N2"/>
    <mergeCell ref="B8:N10"/>
    <mergeCell ref="G29:G30"/>
    <mergeCell ref="M52:O56"/>
    <mergeCell ref="I13:N1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CAC33-40EB-4748-A347-3E8E10465A23}">
  <dimension ref="A1"/>
  <sheetViews>
    <sheetView workbookViewId="0">
      <selection activeCell="L4" sqref="L4"/>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9CA5-AC05-4DF4-90EA-37D45CB0067D}">
  <dimension ref="B1:P43"/>
  <sheetViews>
    <sheetView topLeftCell="A21" zoomScale="120" zoomScaleNormal="120" workbookViewId="0">
      <selection activeCell="H27" sqref="H27"/>
    </sheetView>
  </sheetViews>
  <sheetFormatPr baseColWidth="10" defaultRowHeight="15" x14ac:dyDescent="0.25"/>
  <cols>
    <col min="7" max="7" width="14.42578125" customWidth="1"/>
  </cols>
  <sheetData>
    <row r="1" spans="2:13" x14ac:dyDescent="0.25">
      <c r="B1" s="271" t="s">
        <v>142</v>
      </c>
      <c r="C1" s="271"/>
      <c r="D1" s="271"/>
      <c r="E1" s="271"/>
      <c r="F1" s="271"/>
      <c r="G1" s="271"/>
      <c r="H1" s="271"/>
      <c r="I1" s="271"/>
      <c r="J1" s="271"/>
      <c r="K1" s="271"/>
      <c r="L1" s="271"/>
      <c r="M1" s="271"/>
    </row>
    <row r="2" spans="2:13" x14ac:dyDescent="0.25">
      <c r="B2" s="271"/>
      <c r="C2" s="271"/>
      <c r="D2" s="271"/>
      <c r="E2" s="271"/>
      <c r="F2" s="271"/>
      <c r="G2" s="271"/>
      <c r="H2" s="271"/>
      <c r="I2" s="271"/>
      <c r="J2" s="271"/>
      <c r="K2" s="271"/>
      <c r="L2" s="271"/>
      <c r="M2" s="271"/>
    </row>
    <row r="3" spans="2:13" x14ac:dyDescent="0.25">
      <c r="B3" s="271"/>
      <c r="C3" s="271"/>
      <c r="D3" s="271"/>
      <c r="E3" s="271"/>
      <c r="F3" s="271"/>
      <c r="G3" s="271"/>
      <c r="H3" s="271"/>
      <c r="I3" s="271"/>
      <c r="J3" s="271"/>
      <c r="K3" s="271"/>
      <c r="L3" s="271"/>
      <c r="M3" s="271"/>
    </row>
    <row r="5" spans="2:13" x14ac:dyDescent="0.25">
      <c r="B5" s="272" t="s">
        <v>143</v>
      </c>
      <c r="C5" s="272"/>
      <c r="D5" s="272"/>
      <c r="E5" s="272"/>
      <c r="F5" s="272"/>
      <c r="G5" s="272"/>
      <c r="H5" s="273" t="s">
        <v>144</v>
      </c>
      <c r="I5" s="273"/>
    </row>
    <row r="6" spans="2:13" x14ac:dyDescent="0.25">
      <c r="B6" s="272" t="s">
        <v>145</v>
      </c>
      <c r="C6" s="272"/>
      <c r="D6" s="272"/>
      <c r="E6" s="272"/>
      <c r="F6" s="272"/>
      <c r="G6" s="272"/>
      <c r="H6" s="273" t="s">
        <v>114</v>
      </c>
      <c r="I6" s="273"/>
    </row>
    <row r="7" spans="2:13" x14ac:dyDescent="0.25">
      <c r="B7" s="272" t="s">
        <v>146</v>
      </c>
      <c r="C7" s="272"/>
      <c r="D7" s="272"/>
      <c r="E7" s="272"/>
      <c r="F7" s="272"/>
      <c r="G7" s="272"/>
      <c r="H7" s="273" t="s">
        <v>147</v>
      </c>
      <c r="I7" s="273"/>
    </row>
    <row r="8" spans="2:13" x14ac:dyDescent="0.25">
      <c r="B8" s="272" t="s">
        <v>148</v>
      </c>
      <c r="C8" s="272"/>
      <c r="D8" s="272"/>
      <c r="E8" s="272"/>
      <c r="F8" s="272"/>
      <c r="G8" s="272"/>
      <c r="H8" s="274">
        <v>0.95</v>
      </c>
      <c r="I8" s="274"/>
    </row>
    <row r="9" spans="2:13" x14ac:dyDescent="0.25">
      <c r="B9" s="272" t="s">
        <v>149</v>
      </c>
      <c r="C9" s="272"/>
      <c r="D9" s="272"/>
      <c r="E9" s="272"/>
      <c r="F9" s="272"/>
      <c r="G9" s="272"/>
      <c r="H9" s="273" t="s">
        <v>150</v>
      </c>
      <c r="I9" s="273"/>
    </row>
    <row r="11" spans="2:13" x14ac:dyDescent="0.25">
      <c r="B11" s="275" t="s">
        <v>258</v>
      </c>
      <c r="C11" s="275"/>
      <c r="D11" s="275"/>
      <c r="E11" s="275"/>
      <c r="F11" s="275"/>
      <c r="G11" s="275"/>
      <c r="H11" s="275"/>
      <c r="I11" s="275"/>
      <c r="J11" s="275"/>
      <c r="K11" s="275"/>
      <c r="L11" s="275"/>
      <c r="M11" s="275"/>
    </row>
    <row r="12" spans="2:13" x14ac:dyDescent="0.25">
      <c r="B12" s="275"/>
      <c r="C12" s="275"/>
      <c r="D12" s="275"/>
      <c r="E12" s="275"/>
      <c r="F12" s="275"/>
      <c r="G12" s="275"/>
      <c r="H12" s="275"/>
      <c r="I12" s="275"/>
      <c r="J12" s="275"/>
      <c r="K12" s="275"/>
      <c r="L12" s="275"/>
      <c r="M12" s="275"/>
    </row>
    <row r="14" spans="2:13" x14ac:dyDescent="0.25">
      <c r="B14" t="s">
        <v>151</v>
      </c>
    </row>
    <row r="15" spans="2:13" x14ac:dyDescent="0.25">
      <c r="B15" t="s">
        <v>152</v>
      </c>
    </row>
    <row r="16" spans="2:13" x14ac:dyDescent="0.25">
      <c r="B16" t="s">
        <v>153</v>
      </c>
    </row>
    <row r="17" spans="2:16" x14ac:dyDescent="0.25">
      <c r="B17" t="s">
        <v>154</v>
      </c>
    </row>
    <row r="19" spans="2:16" ht="18.75" x14ac:dyDescent="0.3">
      <c r="B19" s="64" t="s">
        <v>126</v>
      </c>
      <c r="C19" s="65"/>
      <c r="D19" s="65"/>
      <c r="E19" s="65"/>
      <c r="F19" s="65"/>
      <c r="G19" s="65"/>
      <c r="H19" s="65"/>
      <c r="I19" s="65"/>
      <c r="J19" s="65"/>
      <c r="K19" s="65"/>
      <c r="L19" s="65"/>
      <c r="M19" s="65"/>
      <c r="N19" s="65"/>
      <c r="O19" s="65"/>
      <c r="P19" s="65"/>
    </row>
    <row r="20" spans="2:16" x14ac:dyDescent="0.25">
      <c r="B20" s="36" t="s">
        <v>155</v>
      </c>
    </row>
    <row r="21" spans="2:16" ht="15.75" x14ac:dyDescent="0.25">
      <c r="C21" s="15" t="s">
        <v>51</v>
      </c>
      <c r="D21" s="3">
        <f>2500*4</f>
        <v>10000</v>
      </c>
      <c r="F21" s="24" t="s">
        <v>49</v>
      </c>
      <c r="G21" s="76">
        <f>SQRT(2*D21*D22/D23)</f>
        <v>1591.644851508443</v>
      </c>
      <c r="H21" s="11" t="s">
        <v>75</v>
      </c>
      <c r="J21" s="77" t="s">
        <v>156</v>
      </c>
    </row>
    <row r="22" spans="2:16" x14ac:dyDescent="0.25">
      <c r="C22" s="4" t="s">
        <v>13</v>
      </c>
      <c r="D22">
        <v>380</v>
      </c>
      <c r="F22" s="24" t="s">
        <v>59</v>
      </c>
      <c r="G22" s="78">
        <f>(G21/D21)*360</f>
        <v>57.299214654303952</v>
      </c>
      <c r="H22" s="11" t="s">
        <v>61</v>
      </c>
    </row>
    <row r="23" spans="2:16" ht="15.75" thickBot="1" x14ac:dyDescent="0.3">
      <c r="C23" s="4" t="s">
        <v>129</v>
      </c>
      <c r="D23">
        <v>3</v>
      </c>
    </row>
    <row r="24" spans="2:16" x14ac:dyDescent="0.25">
      <c r="B24" s="36" t="s">
        <v>81</v>
      </c>
      <c r="C24" s="4"/>
      <c r="G24" s="269" t="s">
        <v>157</v>
      </c>
      <c r="I24" t="s">
        <v>158</v>
      </c>
    </row>
    <row r="25" spans="2:16" ht="15.75" thickBot="1" x14ac:dyDescent="0.3">
      <c r="C25" s="4" t="s">
        <v>159</v>
      </c>
      <c r="D25">
        <f>7.5*4</f>
        <v>30</v>
      </c>
      <c r="G25" s="270"/>
      <c r="I25">
        <v>30</v>
      </c>
      <c r="J25" t="s">
        <v>75</v>
      </c>
      <c r="K25" t="s">
        <v>160</v>
      </c>
    </row>
    <row r="26" spans="2:16" x14ac:dyDescent="0.25">
      <c r="C26" s="4" t="s">
        <v>14</v>
      </c>
      <c r="D26">
        <v>15</v>
      </c>
    </row>
    <row r="27" spans="2:16" ht="18.75" x14ac:dyDescent="0.3">
      <c r="C27" s="4" t="s">
        <v>83</v>
      </c>
      <c r="D27">
        <v>3</v>
      </c>
      <c r="F27" s="21">
        <f>(D21/360)*D27</f>
        <v>83.333333333333343</v>
      </c>
      <c r="G27" t="s">
        <v>75</v>
      </c>
      <c r="H27" s="20">
        <f>D25*SQRT(D26+G22)</f>
        <v>255.08683460514689</v>
      </c>
      <c r="I27" t="s">
        <v>75</v>
      </c>
      <c r="J27" s="31" t="s">
        <v>161</v>
      </c>
      <c r="K27" s="11"/>
    </row>
    <row r="28" spans="2:16" x14ac:dyDescent="0.25">
      <c r="C28" s="4" t="s">
        <v>17</v>
      </c>
      <c r="D28">
        <v>1.65</v>
      </c>
    </row>
    <row r="29" spans="2:16" x14ac:dyDescent="0.25">
      <c r="C29" s="4" t="s">
        <v>137</v>
      </c>
      <c r="D29">
        <v>2</v>
      </c>
      <c r="F29" s="24" t="s">
        <v>162</v>
      </c>
      <c r="G29" s="67">
        <f>SQRT(SUMSQ(F27,H27))</f>
        <v>268.35375464732743</v>
      </c>
    </row>
    <row r="31" spans="2:16" ht="15.75" x14ac:dyDescent="0.25">
      <c r="C31" s="23" t="s">
        <v>56</v>
      </c>
      <c r="D31" s="79">
        <f>D28*G29</f>
        <v>442.78369516809022</v>
      </c>
      <c r="E31" s="19" t="s">
        <v>75</v>
      </c>
      <c r="I31" t="s">
        <v>163</v>
      </c>
    </row>
    <row r="32" spans="2:16" x14ac:dyDescent="0.25">
      <c r="I32" t="s">
        <v>164</v>
      </c>
    </row>
    <row r="33" spans="2:9" x14ac:dyDescent="0.25">
      <c r="C33" s="24" t="s">
        <v>57</v>
      </c>
      <c r="D33" s="76">
        <f>(D21*(G22/360)/2)+D31</f>
        <v>1238.6061209223117</v>
      </c>
      <c r="E33" s="11" t="s">
        <v>75</v>
      </c>
      <c r="I33" t="s">
        <v>165</v>
      </c>
    </row>
    <row r="34" spans="2:9" x14ac:dyDescent="0.25">
      <c r="I34" t="s">
        <v>166</v>
      </c>
    </row>
    <row r="35" spans="2:9" ht="18.75" x14ac:dyDescent="0.3">
      <c r="C35" s="80" t="s">
        <v>101</v>
      </c>
      <c r="D35" s="81">
        <f>(D21/360)*(D26+G22)+D31</f>
        <v>2451.0952133432002</v>
      </c>
      <c r="E35" s="73" t="s">
        <v>75</v>
      </c>
    </row>
    <row r="38" spans="2:9" x14ac:dyDescent="0.25">
      <c r="B38" s="68" t="s">
        <v>136</v>
      </c>
    </row>
    <row r="40" spans="2:9" ht="15.75" x14ac:dyDescent="0.25">
      <c r="B40" s="4" t="s">
        <v>137</v>
      </c>
      <c r="C40" s="1">
        <v>2</v>
      </c>
      <c r="D40" s="19" t="s">
        <v>138</v>
      </c>
      <c r="E40" s="12"/>
      <c r="F40" s="12"/>
      <c r="G40" s="70">
        <f>(D21/G21)*D22</f>
        <v>2387.4672772626645</v>
      </c>
    </row>
    <row r="41" spans="2:9" ht="15.75" x14ac:dyDescent="0.25">
      <c r="B41" s="4" t="s">
        <v>139</v>
      </c>
      <c r="C41" s="1">
        <v>2.06E-2</v>
      </c>
      <c r="D41" s="19" t="s">
        <v>140</v>
      </c>
      <c r="E41" s="12"/>
      <c r="F41" s="12"/>
      <c r="G41" s="70">
        <f>D33*D23</f>
        <v>3715.818362766935</v>
      </c>
    </row>
    <row r="42" spans="2:9" ht="15.75" x14ac:dyDescent="0.25">
      <c r="D42" s="71" t="s">
        <v>94</v>
      </c>
      <c r="E42" s="52"/>
      <c r="F42" s="52"/>
      <c r="G42" s="70">
        <f>(D21/G21)*G29*C40*C41</f>
        <v>69.463829704168404</v>
      </c>
    </row>
    <row r="43" spans="2:9" ht="18.75" x14ac:dyDescent="0.3">
      <c r="D43" s="73" t="s">
        <v>141</v>
      </c>
      <c r="E43" s="74"/>
      <c r="F43" s="74"/>
      <c r="G43" s="75">
        <f>SUM(G40:G42)</f>
        <v>6172.7494697337679</v>
      </c>
    </row>
  </sheetData>
  <mergeCells count="13">
    <mergeCell ref="G24:G25"/>
    <mergeCell ref="B1:M3"/>
    <mergeCell ref="B5:G5"/>
    <mergeCell ref="H5:I5"/>
    <mergeCell ref="B6:G6"/>
    <mergeCell ref="H6:I6"/>
    <mergeCell ref="B7:G7"/>
    <mergeCell ref="H7:I7"/>
    <mergeCell ref="B8:G8"/>
    <mergeCell ref="H8:I8"/>
    <mergeCell ref="B9:G9"/>
    <mergeCell ref="H9:I9"/>
    <mergeCell ref="B11:M12"/>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D778-0895-4E44-BE65-E1BDEF520024}">
  <dimension ref="B1:N60"/>
  <sheetViews>
    <sheetView topLeftCell="A13" workbookViewId="0">
      <selection activeCell="H28" sqref="H28"/>
    </sheetView>
  </sheetViews>
  <sheetFormatPr baseColWidth="10" defaultRowHeight="15" x14ac:dyDescent="0.25"/>
  <cols>
    <col min="7" max="7" width="12.7109375" customWidth="1"/>
    <col min="10" max="10" width="15.85546875" customWidth="1"/>
    <col min="11" max="13" width="8.140625" customWidth="1"/>
  </cols>
  <sheetData>
    <row r="1" spans="2:14" ht="15" customHeight="1" x14ac:dyDescent="0.25">
      <c r="B1" s="252" t="s">
        <v>345</v>
      </c>
      <c r="C1" s="252"/>
      <c r="D1" s="252"/>
      <c r="E1" s="252"/>
      <c r="F1" s="252"/>
      <c r="G1" s="252"/>
      <c r="H1" s="252"/>
      <c r="I1" s="252"/>
      <c r="J1" s="252"/>
      <c r="K1" s="252"/>
      <c r="L1" s="252"/>
      <c r="M1" s="252"/>
      <c r="N1" s="252"/>
    </row>
    <row r="2" spans="2:14" x14ac:dyDescent="0.25">
      <c r="B2" s="252"/>
      <c r="C2" s="252"/>
      <c r="D2" s="252"/>
      <c r="E2" s="252"/>
      <c r="F2" s="252"/>
      <c r="G2" s="252"/>
      <c r="H2" s="252"/>
      <c r="I2" s="252"/>
      <c r="J2" s="252"/>
      <c r="K2" s="252"/>
      <c r="L2" s="252"/>
      <c r="M2" s="252"/>
      <c r="N2" s="252"/>
    </row>
    <row r="3" spans="2:14" x14ac:dyDescent="0.25">
      <c r="B3" s="252"/>
      <c r="C3" s="252"/>
      <c r="D3" s="252"/>
      <c r="E3" s="252"/>
      <c r="F3" s="252"/>
      <c r="G3" s="252"/>
      <c r="H3" s="252"/>
      <c r="I3" s="252"/>
      <c r="J3" s="252"/>
      <c r="K3" s="252"/>
      <c r="L3" s="252"/>
      <c r="M3" s="252"/>
      <c r="N3" s="252"/>
    </row>
    <row r="4" spans="2:14" x14ac:dyDescent="0.25">
      <c r="B4" s="252"/>
      <c r="C4" s="252"/>
      <c r="D4" s="252"/>
      <c r="E4" s="252"/>
      <c r="F4" s="252"/>
      <c r="G4" s="252"/>
      <c r="H4" s="252"/>
      <c r="I4" s="252"/>
      <c r="J4" s="252"/>
      <c r="K4" s="252"/>
      <c r="L4" s="252"/>
      <c r="M4" s="252"/>
      <c r="N4" s="252"/>
    </row>
    <row r="5" spans="2:14" x14ac:dyDescent="0.25">
      <c r="B5" s="252"/>
      <c r="C5" s="252"/>
      <c r="D5" s="252"/>
      <c r="E5" s="252"/>
      <c r="F5" s="252"/>
      <c r="G5" s="252"/>
      <c r="H5" s="252"/>
      <c r="I5" s="252"/>
      <c r="J5" s="252"/>
      <c r="K5" s="252"/>
      <c r="L5" s="252"/>
      <c r="M5" s="252"/>
      <c r="N5" s="252"/>
    </row>
    <row r="6" spans="2:14" x14ac:dyDescent="0.25">
      <c r="B6" s="252"/>
      <c r="C6" s="252"/>
      <c r="D6" s="252"/>
      <c r="E6" s="252"/>
      <c r="F6" s="252"/>
      <c r="G6" s="252"/>
      <c r="H6" s="252"/>
      <c r="I6" s="252"/>
      <c r="J6" s="252"/>
      <c r="K6" s="252"/>
      <c r="L6" s="252"/>
      <c r="M6" s="252"/>
      <c r="N6" s="252"/>
    </row>
    <row r="7" spans="2:14" x14ac:dyDescent="0.25">
      <c r="B7" s="252"/>
      <c r="C7" s="252"/>
      <c r="D7" s="252"/>
      <c r="E7" s="252"/>
      <c r="F7" s="252"/>
      <c r="G7" s="252"/>
      <c r="H7" s="252"/>
      <c r="I7" s="252"/>
      <c r="J7" s="252"/>
      <c r="K7" s="252"/>
      <c r="L7" s="252"/>
      <c r="M7" s="252"/>
      <c r="N7" s="252"/>
    </row>
    <row r="8" spans="2:14" x14ac:dyDescent="0.25">
      <c r="B8" s="252"/>
      <c r="C8" s="252"/>
      <c r="D8" s="252"/>
      <c r="E8" s="252"/>
      <c r="F8" s="252"/>
      <c r="G8" s="252"/>
      <c r="H8" s="252"/>
      <c r="I8" s="252"/>
      <c r="J8" s="252"/>
      <c r="K8" s="252"/>
      <c r="L8" s="252"/>
      <c r="M8" s="252"/>
      <c r="N8" s="252"/>
    </row>
    <row r="9" spans="2:14" x14ac:dyDescent="0.25">
      <c r="B9" s="252"/>
      <c r="C9" s="252"/>
      <c r="D9" s="252"/>
      <c r="E9" s="252"/>
      <c r="F9" s="252"/>
      <c r="G9" s="252"/>
      <c r="H9" s="252"/>
      <c r="I9" s="252"/>
      <c r="J9" s="252"/>
      <c r="K9" s="252"/>
      <c r="L9" s="252"/>
      <c r="M9" s="252"/>
      <c r="N9" s="252"/>
    </row>
    <row r="10" spans="2:14" x14ac:dyDescent="0.25">
      <c r="B10" s="252"/>
      <c r="C10" s="252"/>
      <c r="D10" s="252"/>
      <c r="E10" s="252"/>
      <c r="F10" s="252"/>
      <c r="G10" s="252"/>
      <c r="H10" s="252"/>
      <c r="I10" s="252"/>
      <c r="J10" s="252"/>
      <c r="K10" s="252"/>
      <c r="L10" s="252"/>
      <c r="M10" s="252"/>
      <c r="N10" s="252"/>
    </row>
    <row r="11" spans="2:14" x14ac:dyDescent="0.25">
      <c r="B11" s="252"/>
      <c r="C11" s="252"/>
      <c r="D11" s="252"/>
      <c r="E11" s="252"/>
      <c r="F11" s="252"/>
      <c r="G11" s="252"/>
      <c r="H11" s="252"/>
      <c r="I11" s="252"/>
      <c r="J11" s="252"/>
      <c r="K11" s="252"/>
      <c r="L11" s="252"/>
      <c r="M11" s="252"/>
      <c r="N11" s="252"/>
    </row>
    <row r="12" spans="2:14" x14ac:dyDescent="0.25">
      <c r="B12" s="252"/>
      <c r="C12" s="252"/>
      <c r="D12" s="252"/>
      <c r="E12" s="252"/>
      <c r="F12" s="252"/>
      <c r="G12" s="252"/>
      <c r="H12" s="252"/>
      <c r="I12" s="252"/>
      <c r="J12" s="252"/>
      <c r="K12" s="252"/>
      <c r="L12" s="252"/>
      <c r="M12" s="252"/>
      <c r="N12" s="252"/>
    </row>
    <row r="13" spans="2:14" x14ac:dyDescent="0.25">
      <c r="B13" t="s">
        <v>346</v>
      </c>
    </row>
    <row r="14" spans="2:14" x14ac:dyDescent="0.25">
      <c r="B14" s="1" t="s">
        <v>268</v>
      </c>
      <c r="C14" t="s">
        <v>347</v>
      </c>
    </row>
    <row r="15" spans="2:14" x14ac:dyDescent="0.25">
      <c r="B15" s="1" t="s">
        <v>269</v>
      </c>
      <c r="C15" t="s">
        <v>348</v>
      </c>
    </row>
    <row r="16" spans="2:14" x14ac:dyDescent="0.25">
      <c r="B16" s="1" t="s">
        <v>270</v>
      </c>
      <c r="C16" t="s">
        <v>349</v>
      </c>
    </row>
    <row r="17" spans="2:11" x14ac:dyDescent="0.25">
      <c r="B17" s="1" t="s">
        <v>271</v>
      </c>
      <c r="C17" t="s">
        <v>350</v>
      </c>
    </row>
    <row r="18" spans="2:11" x14ac:dyDescent="0.25">
      <c r="B18" s="1" t="s">
        <v>351</v>
      </c>
      <c r="C18" t="s">
        <v>352</v>
      </c>
    </row>
    <row r="19" spans="2:11" x14ac:dyDescent="0.25">
      <c r="B19" s="1" t="s">
        <v>353</v>
      </c>
      <c r="C19" t="s">
        <v>354</v>
      </c>
    </row>
    <row r="20" spans="2:11" x14ac:dyDescent="0.25">
      <c r="B20" s="1" t="s">
        <v>355</v>
      </c>
      <c r="C20" t="s">
        <v>356</v>
      </c>
    </row>
    <row r="22" spans="2:11" ht="21" x14ac:dyDescent="0.25">
      <c r="B22" s="212" t="s">
        <v>357</v>
      </c>
      <c r="C22" s="86"/>
      <c r="D22" s="86"/>
      <c r="E22" s="86"/>
      <c r="F22" s="86"/>
      <c r="G22" s="86"/>
      <c r="H22" s="86"/>
      <c r="I22" s="86"/>
      <c r="J22" s="86"/>
      <c r="K22" s="86"/>
    </row>
    <row r="23" spans="2:11" ht="15.75" thickBot="1" x14ac:dyDescent="0.3">
      <c r="B23" s="86"/>
      <c r="C23" s="86"/>
      <c r="D23" s="86"/>
      <c r="E23" s="138" t="s">
        <v>14</v>
      </c>
      <c r="F23" s="139">
        <v>7</v>
      </c>
      <c r="G23" s="86" t="s">
        <v>61</v>
      </c>
      <c r="H23" s="86"/>
      <c r="I23" s="86"/>
    </row>
    <row r="24" spans="2:11" x14ac:dyDescent="0.25">
      <c r="B24" s="86"/>
      <c r="C24" s="86"/>
      <c r="D24" s="276" t="s">
        <v>358</v>
      </c>
      <c r="E24" s="86"/>
      <c r="F24" s="86"/>
      <c r="G24" s="278" t="s">
        <v>359</v>
      </c>
      <c r="H24" s="86"/>
      <c r="I24" s="86"/>
      <c r="J24" s="12" t="s">
        <v>360</v>
      </c>
      <c r="K24" s="213">
        <v>50</v>
      </c>
    </row>
    <row r="25" spans="2:11" ht="15.75" thickBot="1" x14ac:dyDescent="0.3">
      <c r="D25" s="277"/>
      <c r="G25" s="279"/>
      <c r="J25" s="15" t="s">
        <v>159</v>
      </c>
      <c r="K25" s="20">
        <v>15</v>
      </c>
    </row>
    <row r="26" spans="2:11" x14ac:dyDescent="0.25">
      <c r="E26" s="4" t="s">
        <v>83</v>
      </c>
      <c r="F26" s="1">
        <v>2</v>
      </c>
    </row>
    <row r="27" spans="2:11" x14ac:dyDescent="0.25">
      <c r="G27" t="s">
        <v>12</v>
      </c>
      <c r="H27">
        <v>0.3</v>
      </c>
    </row>
    <row r="28" spans="2:11" x14ac:dyDescent="0.25">
      <c r="G28" t="s">
        <v>13</v>
      </c>
      <c r="H28">
        <v>50</v>
      </c>
    </row>
    <row r="29" spans="2:11" x14ac:dyDescent="0.25">
      <c r="G29" t="s">
        <v>137</v>
      </c>
      <c r="H29">
        <v>15</v>
      </c>
    </row>
    <row r="30" spans="2:11" x14ac:dyDescent="0.25">
      <c r="G30" t="s">
        <v>11</v>
      </c>
      <c r="H30">
        <v>45</v>
      </c>
    </row>
    <row r="31" spans="2:11" x14ac:dyDescent="0.25">
      <c r="G31" t="s">
        <v>361</v>
      </c>
      <c r="H31">
        <v>1.04</v>
      </c>
    </row>
    <row r="32" spans="2:11" x14ac:dyDescent="0.25">
      <c r="G32" t="s">
        <v>139</v>
      </c>
      <c r="H32">
        <v>7.7200000000000005E-2</v>
      </c>
    </row>
    <row r="33" spans="2:13" x14ac:dyDescent="0.25">
      <c r="K33" s="1"/>
      <c r="L33" s="1"/>
      <c r="M33" s="1"/>
    </row>
    <row r="34" spans="2:13" x14ac:dyDescent="0.25">
      <c r="B34" s="5" t="s">
        <v>268</v>
      </c>
      <c r="C34" s="3" t="s">
        <v>347</v>
      </c>
      <c r="D34" s="3"/>
      <c r="E34" s="15" t="s">
        <v>159</v>
      </c>
      <c r="F34" s="20">
        <v>15</v>
      </c>
      <c r="H34" s="15" t="s">
        <v>83</v>
      </c>
      <c r="I34" s="5">
        <v>2</v>
      </c>
    </row>
    <row r="35" spans="2:13" ht="15.75" x14ac:dyDescent="0.25">
      <c r="D35" s="232"/>
      <c r="E35" s="225" t="s">
        <v>362</v>
      </c>
      <c r="F35" s="233">
        <f>F34*SQRT(7)</f>
        <v>39.686269665968858</v>
      </c>
      <c r="H35" s="15" t="s">
        <v>363</v>
      </c>
      <c r="I35" s="5">
        <v>50</v>
      </c>
    </row>
    <row r="36" spans="2:13" ht="15.75" x14ac:dyDescent="0.25">
      <c r="H36" s="225" t="s">
        <v>363</v>
      </c>
      <c r="I36" s="234">
        <f>I34*I35</f>
        <v>100</v>
      </c>
    </row>
    <row r="38" spans="2:13" ht="15.75" x14ac:dyDescent="0.25">
      <c r="E38" s="19" t="s">
        <v>364</v>
      </c>
      <c r="F38" s="19"/>
      <c r="G38" s="79">
        <f>SQRT(SUMSQ(I36,F35))</f>
        <v>107.58717395675006</v>
      </c>
      <c r="H38" s="62" t="s">
        <v>75</v>
      </c>
    </row>
    <row r="40" spans="2:13" ht="15.75" x14ac:dyDescent="0.25">
      <c r="E40" s="17" t="s">
        <v>56</v>
      </c>
      <c r="F40" s="69">
        <f>H31*G38</f>
        <v>111.89066091502006</v>
      </c>
      <c r="G40" s="17" t="s">
        <v>75</v>
      </c>
    </row>
    <row r="42" spans="2:13" x14ac:dyDescent="0.25">
      <c r="B42" s="5" t="s">
        <v>269</v>
      </c>
      <c r="C42" s="3" t="s">
        <v>348</v>
      </c>
      <c r="D42" s="3"/>
      <c r="F42" t="s">
        <v>365</v>
      </c>
      <c r="I42" s="1" t="s">
        <v>51</v>
      </c>
      <c r="J42" s="1">
        <f>365*K24</f>
        <v>18250</v>
      </c>
      <c r="K42" s="1" t="s">
        <v>75</v>
      </c>
    </row>
    <row r="44" spans="2:13" ht="18.75" x14ac:dyDescent="0.3">
      <c r="E44" s="108" t="s">
        <v>49</v>
      </c>
      <c r="F44" s="235">
        <f>SQRT((2*J42*H28)/(H27*H30))</f>
        <v>367.67538017276217</v>
      </c>
      <c r="G44" s="214" t="s">
        <v>75</v>
      </c>
    </row>
    <row r="46" spans="2:13" ht="18.75" x14ac:dyDescent="0.3">
      <c r="B46" s="5" t="s">
        <v>270</v>
      </c>
      <c r="C46" s="3" t="s">
        <v>349</v>
      </c>
      <c r="D46" s="3"/>
      <c r="E46" s="108" t="s">
        <v>366</v>
      </c>
      <c r="F46" s="235">
        <f>(F44/2)+F40</f>
        <v>295.72835100140117</v>
      </c>
      <c r="G46" s="214" t="s">
        <v>75</v>
      </c>
    </row>
    <row r="47" spans="2:13" x14ac:dyDescent="0.25">
      <c r="B47" s="1"/>
    </row>
    <row r="49" spans="2:10" ht="18.75" x14ac:dyDescent="0.3">
      <c r="B49" s="5" t="s">
        <v>271</v>
      </c>
      <c r="C49" s="3" t="s">
        <v>350</v>
      </c>
      <c r="D49" s="3"/>
      <c r="E49" s="108" t="s">
        <v>77</v>
      </c>
      <c r="F49" s="235">
        <f>K24*7+F40</f>
        <v>461.89066091502008</v>
      </c>
      <c r="G49" s="214" t="s">
        <v>75</v>
      </c>
    </row>
    <row r="53" spans="2:10" x14ac:dyDescent="0.25">
      <c r="B53" s="1" t="s">
        <v>351</v>
      </c>
      <c r="C53" t="s">
        <v>352</v>
      </c>
    </row>
    <row r="55" spans="2:10" ht="15.75" x14ac:dyDescent="0.25">
      <c r="G55" s="19" t="s">
        <v>138</v>
      </c>
      <c r="H55" s="12"/>
      <c r="I55" s="12"/>
      <c r="J55" s="70">
        <f>(365*K24/F44)*H28</f>
        <v>2481.8088161661444</v>
      </c>
    </row>
    <row r="56" spans="2:10" ht="15.75" x14ac:dyDescent="0.25">
      <c r="G56" s="19" t="s">
        <v>140</v>
      </c>
      <c r="H56" s="12"/>
      <c r="I56" s="12"/>
      <c r="J56" s="70">
        <f>F46*H27*H30</f>
        <v>3992.3327385189154</v>
      </c>
    </row>
    <row r="57" spans="2:10" ht="15.75" x14ac:dyDescent="0.25">
      <c r="B57" s="1" t="s">
        <v>353</v>
      </c>
      <c r="C57" t="s">
        <v>354</v>
      </c>
      <c r="G57" s="71" t="s">
        <v>94</v>
      </c>
      <c r="H57" s="52"/>
      <c r="I57" s="52"/>
      <c r="J57" s="72">
        <f>(365*K24/F44)*G38*H29*H32</f>
        <v>6183.9700546352105</v>
      </c>
    </row>
    <row r="58" spans="2:10" ht="18.75" x14ac:dyDescent="0.3">
      <c r="G58" s="73" t="s">
        <v>141</v>
      </c>
      <c r="H58" s="74"/>
      <c r="I58" s="74"/>
      <c r="J58" s="215">
        <f>SUM(J55:J57)</f>
        <v>12658.111609320271</v>
      </c>
    </row>
    <row r="60" spans="2:10" x14ac:dyDescent="0.25">
      <c r="B60" s="1" t="s">
        <v>355</v>
      </c>
      <c r="C60" t="s">
        <v>356</v>
      </c>
    </row>
  </sheetData>
  <mergeCells count="3">
    <mergeCell ref="B1:N12"/>
    <mergeCell ref="D24:D25"/>
    <mergeCell ref="G24:G2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C506B-63A0-4581-872F-2578F20FEA2D}">
  <dimension ref="B1:P27"/>
  <sheetViews>
    <sheetView topLeftCell="A13" workbookViewId="0">
      <selection activeCell="N26" sqref="N26"/>
    </sheetView>
  </sheetViews>
  <sheetFormatPr baseColWidth="10" defaultRowHeight="15" x14ac:dyDescent="0.25"/>
  <cols>
    <col min="5" max="5" width="12" customWidth="1"/>
    <col min="9" max="9" width="13" customWidth="1"/>
    <col min="14" max="14" width="12" customWidth="1"/>
  </cols>
  <sheetData>
    <row r="1" spans="2:16" x14ac:dyDescent="0.25">
      <c r="B1" s="271" t="s">
        <v>167</v>
      </c>
      <c r="C1" s="271"/>
      <c r="D1" s="271"/>
      <c r="E1" s="271"/>
      <c r="F1" s="271"/>
      <c r="G1" s="271"/>
      <c r="H1" s="271"/>
      <c r="I1" s="271"/>
      <c r="J1" s="271"/>
      <c r="K1" s="271"/>
      <c r="L1" s="271"/>
      <c r="M1" s="271"/>
      <c r="N1" s="271"/>
      <c r="O1" s="271"/>
    </row>
    <row r="2" spans="2:16" x14ac:dyDescent="0.25">
      <c r="B2" s="271"/>
      <c r="C2" s="271"/>
      <c r="D2" s="271"/>
      <c r="E2" s="271"/>
      <c r="F2" s="271"/>
      <c r="G2" s="271"/>
      <c r="H2" s="271"/>
      <c r="I2" s="271"/>
      <c r="J2" s="271"/>
      <c r="K2" s="271"/>
      <c r="L2" s="271"/>
      <c r="M2" s="271"/>
      <c r="N2" s="271"/>
      <c r="O2" s="271"/>
    </row>
    <row r="4" spans="2:16" ht="15" customHeight="1" x14ac:dyDescent="0.25">
      <c r="B4" s="280" t="s">
        <v>168</v>
      </c>
      <c r="C4" s="280"/>
      <c r="D4" s="280"/>
      <c r="E4" s="280"/>
      <c r="F4" s="280"/>
      <c r="G4" s="280"/>
      <c r="H4" s="280"/>
      <c r="I4" s="137">
        <v>11107</v>
      </c>
      <c r="J4" s="134" t="s">
        <v>243</v>
      </c>
    </row>
    <row r="5" spans="2:16" ht="15" customHeight="1" x14ac:dyDescent="0.25">
      <c r="B5" s="280" t="s">
        <v>169</v>
      </c>
      <c r="C5" s="280"/>
      <c r="D5" s="280"/>
      <c r="E5" s="280"/>
      <c r="F5" s="280"/>
      <c r="G5" s="280"/>
      <c r="H5" s="280"/>
      <c r="I5" s="137">
        <v>3099</v>
      </c>
      <c r="J5" s="134" t="s">
        <v>243</v>
      </c>
    </row>
    <row r="6" spans="2:16" x14ac:dyDescent="0.25">
      <c r="B6" s="280" t="s">
        <v>113</v>
      </c>
      <c r="C6" s="280"/>
      <c r="D6" s="280"/>
      <c r="E6" s="280"/>
      <c r="F6" s="280"/>
      <c r="G6" s="280"/>
      <c r="H6" s="280"/>
      <c r="I6" s="16">
        <v>1.5</v>
      </c>
      <c r="J6" s="134" t="s">
        <v>244</v>
      </c>
    </row>
    <row r="7" spans="2:16" ht="15" customHeight="1" x14ac:dyDescent="0.25">
      <c r="B7" s="280" t="s">
        <v>170</v>
      </c>
      <c r="C7" s="280"/>
      <c r="D7" s="280"/>
      <c r="E7" s="280"/>
      <c r="F7" s="280"/>
      <c r="G7" s="280"/>
      <c r="H7" s="280"/>
      <c r="I7" s="16">
        <v>0.11</v>
      </c>
      <c r="J7" s="134" t="s">
        <v>243</v>
      </c>
    </row>
    <row r="8" spans="2:16" x14ac:dyDescent="0.25">
      <c r="B8" s="280" t="s">
        <v>117</v>
      </c>
      <c r="C8" s="280"/>
      <c r="D8" s="280"/>
      <c r="E8" s="280"/>
      <c r="F8" s="280"/>
      <c r="G8" s="280"/>
      <c r="H8" s="280"/>
      <c r="I8" s="16">
        <v>10</v>
      </c>
      <c r="J8" s="134" t="s">
        <v>245</v>
      </c>
    </row>
    <row r="9" spans="2:16" x14ac:dyDescent="0.25">
      <c r="B9" s="280" t="s">
        <v>119</v>
      </c>
      <c r="C9" s="280"/>
      <c r="D9" s="280"/>
      <c r="E9" s="280"/>
      <c r="F9" s="280"/>
      <c r="G9" s="280"/>
      <c r="H9" s="280"/>
      <c r="I9" s="16">
        <v>0.2</v>
      </c>
      <c r="J9" s="134" t="s">
        <v>246</v>
      </c>
    </row>
    <row r="10" spans="2:16" ht="15" customHeight="1" x14ac:dyDescent="0.25">
      <c r="B10" s="280" t="s">
        <v>121</v>
      </c>
      <c r="C10" s="280"/>
      <c r="D10" s="280"/>
      <c r="E10" s="280"/>
      <c r="F10" s="280"/>
      <c r="G10" s="280"/>
      <c r="H10" s="280"/>
      <c r="I10" s="16">
        <v>0.01</v>
      </c>
      <c r="J10" s="134" t="s">
        <v>247</v>
      </c>
    </row>
    <row r="11" spans="2:16" x14ac:dyDescent="0.25">
      <c r="B11" s="280" t="s">
        <v>171</v>
      </c>
      <c r="C11" s="280"/>
      <c r="D11" s="280"/>
      <c r="E11" s="280"/>
      <c r="F11" s="280"/>
      <c r="G11" s="280"/>
      <c r="H11" s="280"/>
      <c r="I11" s="136">
        <v>0.75</v>
      </c>
      <c r="J11" s="134"/>
    </row>
    <row r="13" spans="2:16" x14ac:dyDescent="0.25">
      <c r="B13" s="271" t="s">
        <v>242</v>
      </c>
      <c r="C13" s="271"/>
      <c r="D13" s="271"/>
      <c r="E13" s="271"/>
      <c r="F13" s="271"/>
      <c r="G13" s="271"/>
      <c r="H13" s="271"/>
      <c r="I13" s="271"/>
      <c r="J13" s="271"/>
      <c r="K13" s="271"/>
      <c r="L13" s="271"/>
      <c r="M13" s="271"/>
      <c r="N13" s="271"/>
      <c r="O13" s="271"/>
    </row>
    <row r="14" spans="2:16" x14ac:dyDescent="0.25">
      <c r="B14" s="271"/>
      <c r="C14" s="271"/>
      <c r="D14" s="271"/>
      <c r="E14" s="271"/>
      <c r="F14" s="271"/>
      <c r="G14" s="271"/>
      <c r="H14" s="271"/>
      <c r="I14" s="271"/>
      <c r="J14" s="271"/>
      <c r="K14" s="271"/>
      <c r="L14" s="271"/>
      <c r="M14" s="271"/>
      <c r="N14" s="271"/>
      <c r="O14" s="271"/>
    </row>
    <row r="16" spans="2:16" ht="18.75" x14ac:dyDescent="0.3">
      <c r="B16" s="64" t="s">
        <v>126</v>
      </c>
      <c r="C16" s="65"/>
      <c r="D16" s="65"/>
      <c r="E16" s="65"/>
      <c r="F16" s="65"/>
      <c r="G16" s="65"/>
      <c r="H16" s="65"/>
      <c r="I16" s="65"/>
      <c r="J16" s="65"/>
      <c r="K16" s="65"/>
      <c r="L16" s="65"/>
      <c r="M16" s="65"/>
      <c r="N16" s="65"/>
      <c r="O16" s="65"/>
      <c r="P16" s="65"/>
    </row>
    <row r="18" spans="2:14" x14ac:dyDescent="0.25">
      <c r="B18" s="4" t="s">
        <v>51</v>
      </c>
      <c r="C18" s="6">
        <f>I4*12</f>
        <v>133284</v>
      </c>
      <c r="E18" s="24" t="s">
        <v>49</v>
      </c>
      <c r="F18" s="82">
        <f>SQRT((2*C18*C19)/(C20*C21))</f>
        <v>11007.600679860836</v>
      </c>
      <c r="G18" s="11" t="s">
        <v>75</v>
      </c>
      <c r="I18" s="11"/>
      <c r="J18" s="24" t="s">
        <v>172</v>
      </c>
      <c r="K18" s="83">
        <f>F24</f>
        <v>2542.9745188164979</v>
      </c>
      <c r="L18" s="11" t="s">
        <v>75</v>
      </c>
    </row>
    <row r="19" spans="2:14" x14ac:dyDescent="0.25">
      <c r="B19" s="4" t="s">
        <v>13</v>
      </c>
      <c r="C19">
        <f>I8</f>
        <v>10</v>
      </c>
      <c r="I19" s="11"/>
      <c r="J19" s="24" t="s">
        <v>173</v>
      </c>
      <c r="K19" s="83">
        <f>F24+F18</f>
        <v>13550.575198677334</v>
      </c>
      <c r="L19" s="11" t="s">
        <v>75</v>
      </c>
    </row>
    <row r="20" spans="2:14" x14ac:dyDescent="0.25">
      <c r="B20" s="4" t="s">
        <v>12</v>
      </c>
      <c r="C20">
        <v>0.2</v>
      </c>
      <c r="E20" s="4" t="s">
        <v>174</v>
      </c>
      <c r="F20" s="1">
        <v>0.67</v>
      </c>
      <c r="I20" s="11"/>
      <c r="J20" s="24" t="s">
        <v>57</v>
      </c>
      <c r="K20" s="83">
        <f>(F18/2)+F24</f>
        <v>8046.7748587469159</v>
      </c>
      <c r="L20" s="11" t="s">
        <v>75</v>
      </c>
    </row>
    <row r="21" spans="2:14" x14ac:dyDescent="0.25">
      <c r="B21" s="4" t="s">
        <v>11</v>
      </c>
      <c r="C21">
        <v>0.11</v>
      </c>
    </row>
    <row r="22" spans="2:14" x14ac:dyDescent="0.25">
      <c r="E22" s="24" t="s">
        <v>162</v>
      </c>
      <c r="F22" s="82">
        <f>I5*SQRT(1.5)</f>
        <v>3795.4843564425341</v>
      </c>
      <c r="G22" s="11" t="s">
        <v>75</v>
      </c>
      <c r="I22" s="68" t="s">
        <v>136</v>
      </c>
    </row>
    <row r="24" spans="2:14" ht="15.75" x14ac:dyDescent="0.25">
      <c r="E24" s="24" t="s">
        <v>56</v>
      </c>
      <c r="F24" s="82">
        <f>F20*F22</f>
        <v>2542.9745188164979</v>
      </c>
      <c r="G24" s="11" t="s">
        <v>75</v>
      </c>
      <c r="I24" s="4" t="s">
        <v>137</v>
      </c>
      <c r="J24" s="1">
        <v>0.01</v>
      </c>
      <c r="K24" s="19" t="s">
        <v>138</v>
      </c>
      <c r="L24" s="12"/>
      <c r="M24" s="12"/>
      <c r="N24" s="70">
        <f>(C18/F18)*C19</f>
        <v>121.08360747846918</v>
      </c>
    </row>
    <row r="25" spans="2:14" ht="15.75" x14ac:dyDescent="0.25">
      <c r="I25" s="4" t="s">
        <v>139</v>
      </c>
      <c r="J25" s="1">
        <v>0.15029999999999999</v>
      </c>
      <c r="K25" s="19" t="s">
        <v>140</v>
      </c>
      <c r="L25" s="12"/>
      <c r="M25" s="12"/>
      <c r="N25" s="70">
        <f>K20*C20*C21</f>
        <v>177.02904689243218</v>
      </c>
    </row>
    <row r="26" spans="2:14" ht="15.75" x14ac:dyDescent="0.25">
      <c r="E26" s="24" t="s">
        <v>77</v>
      </c>
      <c r="F26" s="82">
        <f>I4*I6+F24</f>
        <v>19203.474518816496</v>
      </c>
      <c r="G26" s="11" t="s">
        <v>75</v>
      </c>
      <c r="K26" s="71" t="s">
        <v>94</v>
      </c>
      <c r="L26" s="52"/>
      <c r="M26" s="52"/>
      <c r="N26" s="70">
        <f>(C18/F18)*F22*J24*J25</f>
        <v>69.073511982325542</v>
      </c>
    </row>
    <row r="27" spans="2:14" ht="18.75" x14ac:dyDescent="0.3">
      <c r="K27" s="73" t="s">
        <v>141</v>
      </c>
      <c r="L27" s="74"/>
      <c r="M27" s="74"/>
      <c r="N27" s="75">
        <f>SUM(N24:N26)</f>
        <v>367.18616635322689</v>
      </c>
    </row>
  </sheetData>
  <mergeCells count="10">
    <mergeCell ref="B11:H11"/>
    <mergeCell ref="B13:O14"/>
    <mergeCell ref="B7:H7"/>
    <mergeCell ref="B8:H8"/>
    <mergeCell ref="B9:H9"/>
    <mergeCell ref="B1:O2"/>
    <mergeCell ref="B4:H4"/>
    <mergeCell ref="B5:H5"/>
    <mergeCell ref="B6:H6"/>
    <mergeCell ref="B10:H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79637-7A50-44F4-A888-DB816689F6D7}">
  <dimension ref="B1:P48"/>
  <sheetViews>
    <sheetView topLeftCell="A34" zoomScale="110" zoomScaleNormal="110" workbookViewId="0">
      <selection activeCell="G47" sqref="G47"/>
    </sheetView>
  </sheetViews>
  <sheetFormatPr baseColWidth="10" defaultRowHeight="15" x14ac:dyDescent="0.25"/>
  <cols>
    <col min="5" max="5" width="12.7109375" customWidth="1"/>
    <col min="6" max="6" width="12.140625" customWidth="1"/>
    <col min="7" max="7" width="13.7109375" bestFit="1" customWidth="1"/>
    <col min="9" max="9" width="15" bestFit="1" customWidth="1"/>
  </cols>
  <sheetData>
    <row r="1" spans="2:14" ht="12" customHeight="1" x14ac:dyDescent="0.25">
      <c r="B1" s="271" t="s">
        <v>109</v>
      </c>
      <c r="C1" s="271"/>
      <c r="D1" s="271"/>
      <c r="E1" s="271"/>
      <c r="F1" s="271"/>
      <c r="G1" s="271"/>
      <c r="H1" s="271"/>
      <c r="I1" s="271"/>
      <c r="J1" s="271"/>
      <c r="K1" s="271"/>
      <c r="L1" s="271"/>
      <c r="M1" s="271"/>
      <c r="N1" s="271"/>
    </row>
    <row r="2" spans="2:14" ht="12" customHeight="1" x14ac:dyDescent="0.25">
      <c r="B2" s="271"/>
      <c r="C2" s="271"/>
      <c r="D2" s="271"/>
      <c r="E2" s="271"/>
      <c r="F2" s="271"/>
      <c r="G2" s="271"/>
      <c r="H2" s="271"/>
      <c r="I2" s="271"/>
      <c r="J2" s="271"/>
      <c r="K2" s="271"/>
      <c r="L2" s="271"/>
      <c r="M2" s="271"/>
      <c r="N2" s="271"/>
    </row>
    <row r="4" spans="2:14" x14ac:dyDescent="0.25">
      <c r="B4" s="280" t="s">
        <v>110</v>
      </c>
      <c r="C4" s="280"/>
      <c r="D4" s="280"/>
      <c r="E4" s="280"/>
      <c r="F4" s="280"/>
      <c r="G4" s="280"/>
      <c r="H4" s="281" t="s">
        <v>237</v>
      </c>
      <c r="I4" s="281"/>
    </row>
    <row r="5" spans="2:14" x14ac:dyDescent="0.25">
      <c r="B5" s="280" t="s">
        <v>111</v>
      </c>
      <c r="C5" s="280"/>
      <c r="D5" s="280"/>
      <c r="E5" s="280"/>
      <c r="F5" s="280"/>
      <c r="G5" s="280"/>
      <c r="H5" s="281" t="s">
        <v>112</v>
      </c>
      <c r="I5" s="281"/>
    </row>
    <row r="6" spans="2:14" x14ac:dyDescent="0.25">
      <c r="B6" s="280" t="s">
        <v>113</v>
      </c>
      <c r="C6" s="280"/>
      <c r="D6" s="280"/>
      <c r="E6" s="280"/>
      <c r="F6" s="280"/>
      <c r="G6" s="280"/>
      <c r="H6" s="281" t="s">
        <v>114</v>
      </c>
      <c r="I6" s="281"/>
    </row>
    <row r="7" spans="2:14" x14ac:dyDescent="0.25">
      <c r="B7" s="280" t="s">
        <v>115</v>
      </c>
      <c r="C7" s="280"/>
      <c r="D7" s="280"/>
      <c r="E7" s="280"/>
      <c r="F7" s="280"/>
      <c r="G7" s="280"/>
      <c r="H7" s="281" t="s">
        <v>116</v>
      </c>
      <c r="I7" s="281"/>
    </row>
    <row r="8" spans="2:14" x14ac:dyDescent="0.25">
      <c r="B8" s="280" t="s">
        <v>117</v>
      </c>
      <c r="C8" s="280"/>
      <c r="D8" s="280"/>
      <c r="E8" s="280"/>
      <c r="F8" s="280"/>
      <c r="G8" s="280"/>
      <c r="H8" s="281" t="s">
        <v>118</v>
      </c>
      <c r="I8" s="281"/>
    </row>
    <row r="9" spans="2:14" x14ac:dyDescent="0.25">
      <c r="B9" s="280" t="s">
        <v>119</v>
      </c>
      <c r="C9" s="280"/>
      <c r="D9" s="280"/>
      <c r="E9" s="280"/>
      <c r="F9" s="280"/>
      <c r="G9" s="280"/>
      <c r="H9" s="281" t="s">
        <v>120</v>
      </c>
      <c r="I9" s="281"/>
    </row>
    <row r="10" spans="2:14" x14ac:dyDescent="0.25">
      <c r="B10" s="280" t="s">
        <v>121</v>
      </c>
      <c r="C10" s="280"/>
      <c r="D10" s="280"/>
      <c r="E10" s="280"/>
      <c r="F10" s="280"/>
      <c r="G10" s="280"/>
      <c r="H10" s="281" t="s">
        <v>122</v>
      </c>
      <c r="I10" s="281"/>
    </row>
    <row r="12" spans="2:14" ht="13.5" customHeight="1" x14ac:dyDescent="0.25">
      <c r="B12" s="271" t="s">
        <v>123</v>
      </c>
      <c r="C12" s="271"/>
      <c r="D12" s="271"/>
      <c r="E12" s="271"/>
      <c r="F12" s="271"/>
      <c r="G12" s="271"/>
      <c r="H12" s="271"/>
      <c r="I12" s="271"/>
      <c r="J12" s="271"/>
      <c r="K12" s="271"/>
      <c r="L12" s="271"/>
      <c r="M12" s="271"/>
      <c r="N12" s="271"/>
    </row>
    <row r="13" spans="2:14" ht="12" customHeight="1" x14ac:dyDescent="0.25">
      <c r="B13" s="271"/>
      <c r="C13" s="271"/>
      <c r="D13" s="271"/>
      <c r="E13" s="271"/>
      <c r="F13" s="271"/>
      <c r="G13" s="271"/>
      <c r="H13" s="271"/>
      <c r="I13" s="271"/>
      <c r="J13" s="271"/>
      <c r="K13" s="271"/>
      <c r="L13" s="271"/>
      <c r="M13" s="271"/>
      <c r="N13" s="271"/>
    </row>
    <row r="14" spans="2:14" ht="9.75" customHeight="1" x14ac:dyDescent="0.25">
      <c r="B14" s="271"/>
      <c r="C14" s="271"/>
      <c r="D14" s="271"/>
      <c r="E14" s="271"/>
      <c r="F14" s="271"/>
      <c r="G14" s="271"/>
      <c r="H14" s="271"/>
      <c r="I14" s="271"/>
      <c r="J14" s="271"/>
      <c r="K14" s="271"/>
      <c r="L14" s="271"/>
      <c r="M14" s="271"/>
      <c r="N14" s="271"/>
    </row>
    <row r="16" spans="2:14" x14ac:dyDescent="0.25">
      <c r="B16" t="s">
        <v>238</v>
      </c>
    </row>
    <row r="17" spans="2:16" x14ac:dyDescent="0.25">
      <c r="B17" t="s">
        <v>124</v>
      </c>
    </row>
    <row r="18" spans="2:16" x14ac:dyDescent="0.25">
      <c r="B18" t="s">
        <v>125</v>
      </c>
    </row>
    <row r="20" spans="2:16" ht="18.75" x14ac:dyDescent="0.3">
      <c r="B20" s="64" t="s">
        <v>126</v>
      </c>
      <c r="C20" s="65"/>
      <c r="D20" s="65"/>
      <c r="E20" s="65"/>
      <c r="F20" s="65"/>
      <c r="G20" s="65"/>
      <c r="H20" s="65"/>
      <c r="I20" s="65"/>
      <c r="J20" s="65"/>
      <c r="K20" s="65"/>
      <c r="L20" s="65"/>
      <c r="M20" s="65"/>
      <c r="N20" s="65"/>
      <c r="O20" s="65"/>
      <c r="P20" s="65"/>
    </row>
    <row r="22" spans="2:16" x14ac:dyDescent="0.25">
      <c r="B22" s="4" t="s">
        <v>51</v>
      </c>
      <c r="C22" s="6">
        <f>1380*12</f>
        <v>16560</v>
      </c>
      <c r="D22" t="s">
        <v>127</v>
      </c>
      <c r="F22" s="24" t="s">
        <v>49</v>
      </c>
      <c r="G22" s="67">
        <f>SQRT((2*C22*C23)/C26)</f>
        <v>822.14254685360913</v>
      </c>
      <c r="H22" t="s">
        <v>127</v>
      </c>
    </row>
    <row r="23" spans="2:16" x14ac:dyDescent="0.25">
      <c r="B23" s="4" t="s">
        <v>13</v>
      </c>
      <c r="C23">
        <v>125</v>
      </c>
    </row>
    <row r="24" spans="2:16" x14ac:dyDescent="0.25">
      <c r="B24" s="4" t="s">
        <v>11</v>
      </c>
      <c r="F24" s="24" t="s">
        <v>59</v>
      </c>
      <c r="G24" s="67">
        <f>(G22/C22)*365</f>
        <v>18.120895507341022</v>
      </c>
      <c r="H24" t="s">
        <v>61</v>
      </c>
      <c r="N24" s="1"/>
    </row>
    <row r="25" spans="2:16" x14ac:dyDescent="0.25">
      <c r="B25" s="4" t="s">
        <v>12</v>
      </c>
      <c r="C25" s="4" t="s">
        <v>128</v>
      </c>
    </row>
    <row r="26" spans="2:16" x14ac:dyDescent="0.25">
      <c r="B26" s="4" t="s">
        <v>129</v>
      </c>
      <c r="C26">
        <f>6.125</f>
        <v>6.125</v>
      </c>
      <c r="F26" s="24" t="s">
        <v>130</v>
      </c>
      <c r="G26" s="67">
        <f>C22/G22</f>
        <v>20.142492397913422</v>
      </c>
      <c r="H26" t="s">
        <v>131</v>
      </c>
    </row>
    <row r="27" spans="2:16" x14ac:dyDescent="0.25">
      <c r="B27" s="4"/>
      <c r="F27" s="15"/>
      <c r="G27" s="20"/>
    </row>
    <row r="28" spans="2:16" ht="15.75" thickBot="1" x14ac:dyDescent="0.3">
      <c r="B28" s="68" t="s">
        <v>81</v>
      </c>
    </row>
    <row r="29" spans="2:16" x14ac:dyDescent="0.25">
      <c r="F29" s="282" t="s">
        <v>132</v>
      </c>
      <c r="G29" s="283"/>
    </row>
    <row r="30" spans="2:16" x14ac:dyDescent="0.25">
      <c r="F30" s="284"/>
      <c r="G30" s="285"/>
    </row>
    <row r="31" spans="2:16" ht="15.75" thickBot="1" x14ac:dyDescent="0.3">
      <c r="F31" s="286"/>
      <c r="G31" s="287"/>
    </row>
    <row r="32" spans="2:16" x14ac:dyDescent="0.25">
      <c r="D32" s="4" t="s">
        <v>14</v>
      </c>
      <c r="E32" s="1">
        <v>15</v>
      </c>
      <c r="H32" s="4" t="s">
        <v>67</v>
      </c>
      <c r="I32" s="1">
        <v>25</v>
      </c>
      <c r="J32" t="s">
        <v>127</v>
      </c>
    </row>
    <row r="33" spans="2:13" x14ac:dyDescent="0.25">
      <c r="D33" s="4" t="s">
        <v>83</v>
      </c>
      <c r="E33" s="1">
        <v>5</v>
      </c>
      <c r="H33" s="1" t="s">
        <v>133</v>
      </c>
    </row>
    <row r="34" spans="2:13" x14ac:dyDescent="0.25">
      <c r="E34" s="1"/>
    </row>
    <row r="35" spans="2:13" ht="15.75" x14ac:dyDescent="0.25">
      <c r="B35" s="232">
        <f>(1380/30)*E33</f>
        <v>230</v>
      </c>
      <c r="C35">
        <f>B35*B35</f>
        <v>52900</v>
      </c>
      <c r="E35" s="19"/>
      <c r="F35" s="23" t="s">
        <v>134</v>
      </c>
      <c r="G35" s="69">
        <f>SQRT(POWER(I32*SQRT(15/30),2)+POWER((1380/30)*E33,2))</f>
        <v>230.67834748844547</v>
      </c>
      <c r="H35" s="19" t="s">
        <v>127</v>
      </c>
      <c r="J35" s="232">
        <f>I32*SQRT(15/30)</f>
        <v>17.677669529663689</v>
      </c>
      <c r="K35" s="220">
        <f>J35*J35</f>
        <v>312.5</v>
      </c>
      <c r="M35">
        <f>C35+K35</f>
        <v>53212.5</v>
      </c>
    </row>
    <row r="36" spans="2:13" x14ac:dyDescent="0.25">
      <c r="M36">
        <f>SQRT(M35)</f>
        <v>230.67834748844547</v>
      </c>
    </row>
    <row r="37" spans="2:13" ht="15.75" x14ac:dyDescent="0.25">
      <c r="B37" t="s">
        <v>135</v>
      </c>
      <c r="F37" s="24" t="s">
        <v>56</v>
      </c>
      <c r="G37" s="69">
        <f>1.28*G35</f>
        <v>295.2682847852102</v>
      </c>
      <c r="H37" s="19" t="s">
        <v>127</v>
      </c>
      <c r="J37">
        <f>SQRT(SUMSQ(B35,J35))</f>
        <v>230.67834748844547</v>
      </c>
    </row>
    <row r="39" spans="2:13" ht="15.75" x14ac:dyDescent="0.25">
      <c r="F39" s="24" t="s">
        <v>57</v>
      </c>
      <c r="G39" s="69">
        <f>(G22/2)+G37</f>
        <v>706.33955821201471</v>
      </c>
      <c r="H39" s="19" t="s">
        <v>127</v>
      </c>
    </row>
    <row r="41" spans="2:13" ht="15.75" x14ac:dyDescent="0.25">
      <c r="F41" s="24" t="s">
        <v>77</v>
      </c>
      <c r="G41" s="69">
        <f>(C22/365)*E32+G37</f>
        <v>975.81622999068964</v>
      </c>
      <c r="H41" s="19" t="s">
        <v>127</v>
      </c>
    </row>
    <row r="43" spans="2:13" x14ac:dyDescent="0.25">
      <c r="B43" s="68" t="s">
        <v>136</v>
      </c>
    </row>
    <row r="45" spans="2:13" ht="15.75" x14ac:dyDescent="0.25">
      <c r="B45" s="4" t="s">
        <v>137</v>
      </c>
      <c r="C45" s="1">
        <v>0.15</v>
      </c>
      <c r="D45" s="19" t="s">
        <v>138</v>
      </c>
      <c r="E45" s="12"/>
      <c r="F45" s="12"/>
      <c r="G45" s="70">
        <f>(C22/G22)*C23</f>
        <v>2517.8115497391777</v>
      </c>
      <c r="I45" s="217">
        <f>G45</f>
        <v>2517.8115497391777</v>
      </c>
    </row>
    <row r="46" spans="2:13" ht="15.75" x14ac:dyDescent="0.25">
      <c r="B46" s="4" t="s">
        <v>139</v>
      </c>
      <c r="C46" s="1">
        <v>4.7500000000000001E-2</v>
      </c>
      <c r="D46" s="19" t="s">
        <v>140</v>
      </c>
      <c r="E46" s="12"/>
      <c r="F46" s="12"/>
      <c r="G46" s="70">
        <f>G39*C26</f>
        <v>4326.32979404859</v>
      </c>
      <c r="I46" s="217">
        <f>G46</f>
        <v>4326.32979404859</v>
      </c>
    </row>
    <row r="47" spans="2:13" ht="15.75" x14ac:dyDescent="0.25">
      <c r="D47" s="71" t="s">
        <v>94</v>
      </c>
      <c r="E47" s="52"/>
      <c r="F47" s="52"/>
      <c r="G47" s="72">
        <f>(C22/G22)*G35*C45*C46</f>
        <v>33.105862632125856</v>
      </c>
    </row>
    <row r="48" spans="2:13" ht="21" x14ac:dyDescent="0.35">
      <c r="D48" s="73" t="s">
        <v>141</v>
      </c>
      <c r="E48" s="74"/>
      <c r="F48" s="74"/>
      <c r="G48" s="75">
        <f>SUM(G45:G47)</f>
        <v>6877.2472064198928</v>
      </c>
      <c r="I48" s="218">
        <f>SUM(I45:I47)</f>
        <v>6844.1413437877673</v>
      </c>
    </row>
  </sheetData>
  <mergeCells count="17">
    <mergeCell ref="B10:G10"/>
    <mergeCell ref="H10:I10"/>
    <mergeCell ref="B12:N14"/>
    <mergeCell ref="F29:G31"/>
    <mergeCell ref="B7:G7"/>
    <mergeCell ref="H7:I7"/>
    <mergeCell ref="B8:G8"/>
    <mergeCell ref="H8:I8"/>
    <mergeCell ref="B9:G9"/>
    <mergeCell ref="H9:I9"/>
    <mergeCell ref="B6:G6"/>
    <mergeCell ref="H6:I6"/>
    <mergeCell ref="B1:N2"/>
    <mergeCell ref="B4:G4"/>
    <mergeCell ref="H4:I4"/>
    <mergeCell ref="B5:G5"/>
    <mergeCell ref="H5:I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EFDD4-CB4B-4A91-A562-944A707A7A86}">
  <dimension ref="B1:P28"/>
  <sheetViews>
    <sheetView topLeftCell="A13" zoomScaleNormal="100" workbookViewId="0">
      <selection activeCell="N27" sqref="N27"/>
    </sheetView>
  </sheetViews>
  <sheetFormatPr baseColWidth="10" defaultRowHeight="15" x14ac:dyDescent="0.25"/>
  <cols>
    <col min="11" max="11" width="15.140625" customWidth="1"/>
    <col min="14" max="14" width="13.7109375" bestFit="1" customWidth="1"/>
  </cols>
  <sheetData>
    <row r="1" spans="2:14" x14ac:dyDescent="0.25">
      <c r="B1" s="271" t="s">
        <v>175</v>
      </c>
      <c r="C1" s="271"/>
      <c r="D1" s="271"/>
      <c r="E1" s="271"/>
      <c r="F1" s="271"/>
      <c r="G1" s="271"/>
      <c r="H1" s="271"/>
      <c r="I1" s="271"/>
      <c r="J1" s="271"/>
      <c r="K1" s="271"/>
      <c r="L1" s="271"/>
      <c r="M1" s="271"/>
      <c r="N1" s="271"/>
    </row>
    <row r="2" spans="2:14" x14ac:dyDescent="0.25">
      <c r="B2" s="271"/>
      <c r="C2" s="271"/>
      <c r="D2" s="271"/>
      <c r="E2" s="271"/>
      <c r="F2" s="271"/>
      <c r="G2" s="271"/>
      <c r="H2" s="271"/>
      <c r="I2" s="271"/>
      <c r="J2" s="271"/>
      <c r="K2" s="271"/>
      <c r="L2" s="271"/>
      <c r="M2" s="271"/>
      <c r="N2" s="271"/>
    </row>
    <row r="4" spans="2:14" x14ac:dyDescent="0.25">
      <c r="B4" s="289" t="s">
        <v>176</v>
      </c>
      <c r="C4" s="290"/>
      <c r="D4" s="290"/>
      <c r="E4" s="290"/>
      <c r="F4" s="290"/>
      <c r="G4" s="290"/>
      <c r="H4" s="290"/>
      <c r="I4" s="290"/>
      <c r="J4" s="291"/>
      <c r="K4" s="134">
        <v>1800</v>
      </c>
      <c r="L4" s="134" t="s">
        <v>243</v>
      </c>
    </row>
    <row r="5" spans="2:14" x14ac:dyDescent="0.25">
      <c r="B5" s="292" t="s">
        <v>177</v>
      </c>
      <c r="C5" s="292"/>
      <c r="D5" s="292"/>
      <c r="E5" s="292"/>
      <c r="F5" s="292"/>
      <c r="G5" s="292"/>
      <c r="H5" s="292"/>
      <c r="I5" s="292"/>
      <c r="J5" s="292"/>
      <c r="K5" s="134">
        <v>350</v>
      </c>
      <c r="L5" s="134" t="s">
        <v>243</v>
      </c>
    </row>
    <row r="6" spans="2:14" x14ac:dyDescent="0.25">
      <c r="B6" s="292" t="s">
        <v>178</v>
      </c>
      <c r="C6" s="292"/>
      <c r="D6" s="292"/>
      <c r="E6" s="292"/>
      <c r="F6" s="292"/>
      <c r="G6" s="292"/>
      <c r="H6" s="292"/>
      <c r="I6" s="292"/>
      <c r="J6" s="292"/>
      <c r="K6" s="134">
        <v>1.5</v>
      </c>
      <c r="L6" s="134" t="s">
        <v>244</v>
      </c>
    </row>
    <row r="7" spans="2:14" x14ac:dyDescent="0.25">
      <c r="B7" s="292" t="s">
        <v>179</v>
      </c>
      <c r="C7" s="292"/>
      <c r="D7" s="292"/>
      <c r="E7" s="292"/>
      <c r="F7" s="292"/>
      <c r="G7" s="292"/>
      <c r="H7" s="292"/>
      <c r="I7" s="292"/>
      <c r="J7" s="292"/>
      <c r="K7" s="135">
        <v>0.25</v>
      </c>
      <c r="L7" s="134" t="s">
        <v>248</v>
      </c>
    </row>
    <row r="8" spans="2:14" x14ac:dyDescent="0.25">
      <c r="B8" s="288" t="s">
        <v>180</v>
      </c>
      <c r="C8" s="288"/>
      <c r="D8" s="288"/>
      <c r="E8" s="288"/>
      <c r="F8" s="288"/>
      <c r="G8" s="288"/>
      <c r="H8" s="288"/>
      <c r="I8" s="288"/>
      <c r="J8" s="288"/>
      <c r="K8" s="134">
        <v>15</v>
      </c>
      <c r="L8" s="134" t="s">
        <v>247</v>
      </c>
    </row>
    <row r="9" spans="2:14" x14ac:dyDescent="0.25">
      <c r="B9" s="288" t="s">
        <v>181</v>
      </c>
      <c r="C9" s="288"/>
      <c r="D9" s="288"/>
      <c r="E9" s="288"/>
      <c r="F9" s="288"/>
      <c r="G9" s="288"/>
      <c r="H9" s="288"/>
      <c r="I9" s="288"/>
      <c r="J9" s="288"/>
      <c r="K9" s="134">
        <v>20</v>
      </c>
      <c r="L9" s="134" t="s">
        <v>249</v>
      </c>
    </row>
    <row r="10" spans="2:14" x14ac:dyDescent="0.25">
      <c r="B10" s="288" t="s">
        <v>182</v>
      </c>
      <c r="C10" s="288"/>
      <c r="D10" s="288"/>
      <c r="E10" s="288"/>
      <c r="F10" s="288"/>
      <c r="G10" s="288"/>
      <c r="H10" s="288"/>
      <c r="I10" s="288"/>
      <c r="J10" s="288"/>
      <c r="K10" s="135">
        <v>0.75</v>
      </c>
      <c r="L10" s="134"/>
    </row>
    <row r="12" spans="2:14" x14ac:dyDescent="0.25">
      <c r="B12" s="10" t="s">
        <v>46</v>
      </c>
    </row>
    <row r="14" spans="2:14" x14ac:dyDescent="0.25">
      <c r="B14" s="11" t="s">
        <v>183</v>
      </c>
      <c r="C14" s="12"/>
      <c r="D14" s="12"/>
      <c r="E14" s="12"/>
      <c r="F14" s="12"/>
      <c r="G14" s="12"/>
      <c r="H14" s="12"/>
      <c r="I14" s="12"/>
      <c r="J14" s="12"/>
    </row>
    <row r="15" spans="2:14" x14ac:dyDescent="0.25">
      <c r="B15" s="11" t="s">
        <v>250</v>
      </c>
      <c r="C15" s="12"/>
      <c r="D15" s="12"/>
      <c r="E15" s="12"/>
      <c r="F15" s="12"/>
      <c r="G15" s="12"/>
      <c r="H15" s="12"/>
      <c r="I15" s="12"/>
      <c r="J15" s="12"/>
    </row>
    <row r="17" spans="2:16" ht="18.75" x14ac:dyDescent="0.3">
      <c r="B17" s="64" t="s">
        <v>126</v>
      </c>
      <c r="C17" s="65"/>
      <c r="D17" s="65"/>
      <c r="E17" s="65"/>
      <c r="F17" s="65"/>
      <c r="G17" s="65"/>
      <c r="H17" s="65"/>
      <c r="I17" s="65"/>
      <c r="J17" s="65"/>
      <c r="K17" s="65"/>
      <c r="L17" s="65"/>
      <c r="M17" s="65"/>
      <c r="N17" s="65"/>
      <c r="O17" s="65"/>
      <c r="P17" s="65"/>
    </row>
    <row r="19" spans="2:16" x14ac:dyDescent="0.25">
      <c r="B19" s="4" t="s">
        <v>51</v>
      </c>
      <c r="C19" s="6">
        <f>K4*12</f>
        <v>21600</v>
      </c>
      <c r="D19" t="s">
        <v>75</v>
      </c>
      <c r="E19" s="24" t="s">
        <v>49</v>
      </c>
      <c r="F19" s="95">
        <f>SQRT((2*C19*C20)/(C21*C22))</f>
        <v>480</v>
      </c>
      <c r="G19" s="11" t="s">
        <v>75</v>
      </c>
      <c r="I19" s="11"/>
      <c r="J19" s="24" t="s">
        <v>172</v>
      </c>
      <c r="K19" s="83">
        <f>F25</f>
        <v>287.20267234132763</v>
      </c>
      <c r="L19" s="11" t="s">
        <v>75</v>
      </c>
    </row>
    <row r="20" spans="2:16" x14ac:dyDescent="0.25">
      <c r="B20" s="4" t="s">
        <v>13</v>
      </c>
      <c r="C20">
        <f>K9</f>
        <v>20</v>
      </c>
      <c r="I20" s="11"/>
      <c r="J20" s="24" t="s">
        <v>173</v>
      </c>
      <c r="K20" s="83">
        <f>F25+F19</f>
        <v>767.20267234132757</v>
      </c>
      <c r="L20" s="11" t="s">
        <v>75</v>
      </c>
    </row>
    <row r="21" spans="2:16" x14ac:dyDescent="0.25">
      <c r="B21" s="4" t="s">
        <v>12</v>
      </c>
      <c r="C21">
        <f>K7</f>
        <v>0.25</v>
      </c>
      <c r="E21" s="4" t="s">
        <v>174</v>
      </c>
      <c r="F21" s="1">
        <v>0.67</v>
      </c>
      <c r="I21" s="11"/>
      <c r="J21" s="24" t="s">
        <v>57</v>
      </c>
      <c r="K21" s="83">
        <f>(F19/2)+F25</f>
        <v>527.20267234132757</v>
      </c>
      <c r="L21" s="11" t="s">
        <v>75</v>
      </c>
    </row>
    <row r="22" spans="2:16" x14ac:dyDescent="0.25">
      <c r="B22" s="4" t="s">
        <v>11</v>
      </c>
      <c r="C22">
        <f>K8</f>
        <v>15</v>
      </c>
    </row>
    <row r="23" spans="2:16" x14ac:dyDescent="0.25">
      <c r="E23" s="24" t="s">
        <v>162</v>
      </c>
      <c r="F23" s="82">
        <f>K5*SQRT(1.5)</f>
        <v>428.66070498705614</v>
      </c>
      <c r="G23" s="11" t="s">
        <v>75</v>
      </c>
      <c r="I23" s="68" t="s">
        <v>136</v>
      </c>
    </row>
    <row r="25" spans="2:16" ht="15.75" x14ac:dyDescent="0.25">
      <c r="E25" s="24" t="s">
        <v>56</v>
      </c>
      <c r="F25" s="95">
        <f>F21*F23</f>
        <v>287.20267234132763</v>
      </c>
      <c r="G25" s="11" t="s">
        <v>75</v>
      </c>
      <c r="I25" s="84" t="s">
        <v>137</v>
      </c>
      <c r="J25" s="85">
        <v>0.25</v>
      </c>
      <c r="K25" s="19" t="s">
        <v>138</v>
      </c>
      <c r="L25" s="12"/>
      <c r="M25" s="12"/>
      <c r="N25" s="70">
        <f>(C19/F19)*C20</f>
        <v>900</v>
      </c>
    </row>
    <row r="26" spans="2:16" ht="15.75" x14ac:dyDescent="0.25">
      <c r="I26" s="4" t="s">
        <v>139</v>
      </c>
      <c r="J26" s="1">
        <v>0.15029999999999999</v>
      </c>
      <c r="K26" s="19" t="s">
        <v>140</v>
      </c>
      <c r="L26" s="12"/>
      <c r="M26" s="12"/>
      <c r="N26" s="70">
        <f>K21*C21*C22</f>
        <v>1977.0100212799784</v>
      </c>
    </row>
    <row r="27" spans="2:16" ht="15.75" x14ac:dyDescent="0.25">
      <c r="E27" s="24" t="s">
        <v>77</v>
      </c>
      <c r="F27" s="95">
        <f>K4*K6+F25</f>
        <v>2987.2026723413278</v>
      </c>
      <c r="G27" s="11" t="s">
        <v>75</v>
      </c>
      <c r="K27" s="71" t="s">
        <v>94</v>
      </c>
      <c r="L27" s="52"/>
      <c r="M27" s="52"/>
      <c r="N27" s="72">
        <f>(C19/F19)*F23*J25*J26</f>
        <v>724.81166954498849</v>
      </c>
    </row>
    <row r="28" spans="2:16" ht="18.75" x14ac:dyDescent="0.3">
      <c r="K28" s="73" t="s">
        <v>141</v>
      </c>
      <c r="L28" s="74"/>
      <c r="M28" s="74"/>
      <c r="N28" s="75">
        <f>SUM(N25:N27)</f>
        <v>3601.8216908249669</v>
      </c>
    </row>
  </sheetData>
  <mergeCells count="8">
    <mergeCell ref="B9:J9"/>
    <mergeCell ref="B10:J10"/>
    <mergeCell ref="B1:N2"/>
    <mergeCell ref="B4:J4"/>
    <mergeCell ref="B5:J5"/>
    <mergeCell ref="B6:J6"/>
    <mergeCell ref="B7:J7"/>
    <mergeCell ref="B8:J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5F58-C280-465B-B8BA-566B35816848}">
  <dimension ref="B1:P50"/>
  <sheetViews>
    <sheetView topLeftCell="A36" zoomScale="110" zoomScaleNormal="110" workbookViewId="0">
      <selection activeCell="G47" sqref="G47"/>
    </sheetView>
  </sheetViews>
  <sheetFormatPr baseColWidth="10" defaultRowHeight="15" x14ac:dyDescent="0.25"/>
  <cols>
    <col min="1" max="1" width="6.140625" customWidth="1"/>
    <col min="7" max="7" width="15.140625" bestFit="1" customWidth="1"/>
  </cols>
  <sheetData>
    <row r="1" spans="2:14" ht="15" customHeight="1" x14ac:dyDescent="0.25">
      <c r="B1" s="271" t="s">
        <v>251</v>
      </c>
      <c r="C1" s="271"/>
      <c r="D1" s="271"/>
      <c r="E1" s="271"/>
      <c r="F1" s="271"/>
      <c r="G1" s="271"/>
      <c r="H1" s="271"/>
      <c r="I1" s="271"/>
      <c r="J1" s="271"/>
      <c r="K1" s="271"/>
      <c r="L1" s="271"/>
      <c r="M1" s="271"/>
      <c r="N1" s="86"/>
    </row>
    <row r="2" spans="2:14" x14ac:dyDescent="0.25">
      <c r="B2" s="271"/>
      <c r="C2" s="271"/>
      <c r="D2" s="271"/>
      <c r="E2" s="271"/>
      <c r="F2" s="271"/>
      <c r="G2" s="271"/>
      <c r="H2" s="271"/>
      <c r="I2" s="271"/>
      <c r="J2" s="271"/>
      <c r="K2" s="271"/>
      <c r="L2" s="271"/>
      <c r="M2" s="271"/>
      <c r="N2" s="86"/>
    </row>
    <row r="3" spans="2:14" x14ac:dyDescent="0.25">
      <c r="B3" s="271"/>
      <c r="C3" s="271"/>
      <c r="D3" s="271"/>
      <c r="E3" s="271"/>
      <c r="F3" s="271"/>
      <c r="G3" s="271"/>
      <c r="H3" s="271"/>
      <c r="I3" s="271"/>
      <c r="J3" s="271"/>
      <c r="K3" s="271"/>
      <c r="L3" s="271"/>
      <c r="M3" s="271"/>
      <c r="N3" s="86"/>
    </row>
    <row r="4" spans="2:14" ht="15.75" customHeight="1" x14ac:dyDescent="0.25">
      <c r="B4" s="271"/>
      <c r="C4" s="271"/>
      <c r="D4" s="271"/>
      <c r="E4" s="271"/>
      <c r="F4" s="271"/>
      <c r="G4" s="271"/>
      <c r="H4" s="271"/>
      <c r="I4" s="271"/>
      <c r="J4" s="271"/>
      <c r="K4" s="271"/>
      <c r="L4" s="271"/>
      <c r="M4" s="271"/>
      <c r="N4" s="86"/>
    </row>
    <row r="5" spans="2:14" ht="10.5" customHeight="1" thickBot="1" x14ac:dyDescent="0.3"/>
    <row r="6" spans="2:14" ht="36.75" customHeight="1" thickBot="1" x14ac:dyDescent="0.3">
      <c r="C6" s="87" t="s">
        <v>184</v>
      </c>
      <c r="D6" s="303" t="s">
        <v>185</v>
      </c>
      <c r="E6" s="304"/>
      <c r="F6" s="303" t="s">
        <v>186</v>
      </c>
      <c r="G6" s="304"/>
    </row>
    <row r="7" spans="2:14" ht="15.75" thickBot="1" x14ac:dyDescent="0.3">
      <c r="C7" s="88" t="s">
        <v>187</v>
      </c>
      <c r="D7" s="293">
        <v>3400</v>
      </c>
      <c r="E7" s="294"/>
      <c r="F7" s="303">
        <v>40</v>
      </c>
      <c r="G7" s="304"/>
    </row>
    <row r="8" spans="2:14" ht="15.75" thickBot="1" x14ac:dyDescent="0.3">
      <c r="C8" s="88" t="s">
        <v>188</v>
      </c>
      <c r="D8" s="293">
        <v>4200</v>
      </c>
      <c r="E8" s="294"/>
      <c r="F8" s="303">
        <v>60</v>
      </c>
      <c r="G8" s="304"/>
    </row>
    <row r="9" spans="2:14" ht="15.75" thickBot="1" x14ac:dyDescent="0.3">
      <c r="C9" s="88" t="s">
        <v>189</v>
      </c>
      <c r="D9" s="293">
        <v>5100</v>
      </c>
      <c r="E9" s="294"/>
      <c r="F9" s="295">
        <v>90</v>
      </c>
      <c r="G9" s="296"/>
    </row>
    <row r="10" spans="2:14" ht="10.5" customHeight="1" x14ac:dyDescent="0.25">
      <c r="E10" s="6"/>
    </row>
    <row r="11" spans="2:14" ht="12" customHeight="1" x14ac:dyDescent="0.25">
      <c r="B11" s="271" t="s">
        <v>252</v>
      </c>
      <c r="C11" s="271"/>
      <c r="D11" s="271"/>
      <c r="E11" s="271"/>
      <c r="F11" s="271"/>
      <c r="G11" s="271"/>
      <c r="H11" s="271"/>
      <c r="I11" s="271"/>
      <c r="J11" s="271"/>
      <c r="K11" s="271"/>
      <c r="L11" s="271"/>
      <c r="M11" s="271"/>
      <c r="N11" s="271"/>
    </row>
    <row r="12" spans="2:14" ht="9.75" customHeight="1" x14ac:dyDescent="0.25">
      <c r="B12" s="271"/>
      <c r="C12" s="271"/>
      <c r="D12" s="271"/>
      <c r="E12" s="271"/>
      <c r="F12" s="271"/>
      <c r="G12" s="271"/>
      <c r="H12" s="271"/>
      <c r="I12" s="271"/>
      <c r="J12" s="271"/>
      <c r="K12" s="271"/>
      <c r="L12" s="271"/>
      <c r="M12" s="271"/>
      <c r="N12" s="271"/>
    </row>
    <row r="13" spans="2:14" ht="6" customHeight="1" thickBot="1" x14ac:dyDescent="0.3"/>
    <row r="14" spans="2:14" ht="15.75" thickBot="1" x14ac:dyDescent="0.3">
      <c r="C14" s="89" t="s">
        <v>190</v>
      </c>
      <c r="D14" s="90"/>
      <c r="E14" s="90"/>
      <c r="F14" s="90"/>
      <c r="G14" s="91"/>
      <c r="H14" s="87" t="s">
        <v>191</v>
      </c>
    </row>
    <row r="15" spans="2:14" ht="15.75" thickBot="1" x14ac:dyDescent="0.3">
      <c r="C15" s="89" t="s">
        <v>192</v>
      </c>
      <c r="D15" s="90"/>
      <c r="E15" s="90"/>
      <c r="F15" s="90"/>
      <c r="G15" s="91"/>
      <c r="H15" s="88" t="s">
        <v>193</v>
      </c>
    </row>
    <row r="16" spans="2:14" ht="15.75" thickBot="1" x14ac:dyDescent="0.3">
      <c r="C16" s="89" t="s">
        <v>194</v>
      </c>
      <c r="D16" s="90"/>
      <c r="E16" s="90"/>
      <c r="F16" s="90"/>
      <c r="G16" s="91"/>
      <c r="H16" s="88" t="s">
        <v>195</v>
      </c>
    </row>
    <row r="17" spans="2:16" ht="15.75" thickBot="1" x14ac:dyDescent="0.3">
      <c r="C17" s="89" t="s">
        <v>196</v>
      </c>
      <c r="D17" s="90"/>
      <c r="E17" s="90"/>
      <c r="F17" s="90"/>
      <c r="G17" s="91"/>
      <c r="H17" s="88" t="s">
        <v>147</v>
      </c>
    </row>
    <row r="18" spans="2:16" ht="15.75" thickBot="1" x14ac:dyDescent="0.3">
      <c r="C18" s="89" t="s">
        <v>197</v>
      </c>
      <c r="D18" s="90"/>
      <c r="E18" s="90"/>
      <c r="F18" s="90"/>
      <c r="G18" s="91"/>
      <c r="H18" s="92">
        <v>0.95</v>
      </c>
    </row>
    <row r="19" spans="2:16" ht="15.75" thickBot="1" x14ac:dyDescent="0.3">
      <c r="C19" s="89" t="s">
        <v>198</v>
      </c>
      <c r="D19" s="90"/>
      <c r="E19" s="90"/>
      <c r="F19" s="90"/>
      <c r="G19" s="91"/>
      <c r="H19" s="88" t="s">
        <v>199</v>
      </c>
    </row>
    <row r="20" spans="2:16" ht="9.75" customHeight="1" x14ac:dyDescent="0.25"/>
    <row r="21" spans="2:16" x14ac:dyDescent="0.25">
      <c r="B21" t="s">
        <v>200</v>
      </c>
    </row>
    <row r="23" spans="2:16" x14ac:dyDescent="0.25">
      <c r="B23" t="s">
        <v>253</v>
      </c>
    </row>
    <row r="24" spans="2:16" x14ac:dyDescent="0.25">
      <c r="B24" t="s">
        <v>254</v>
      </c>
    </row>
    <row r="26" spans="2:16" ht="18.75" x14ac:dyDescent="0.3">
      <c r="B26" s="64" t="s">
        <v>126</v>
      </c>
      <c r="C26" s="65"/>
      <c r="D26" s="65"/>
      <c r="E26" s="65"/>
      <c r="F26" s="65"/>
      <c r="G26" s="65"/>
      <c r="H26" s="65"/>
      <c r="I26" s="65"/>
      <c r="J26" s="65"/>
      <c r="K26" s="65"/>
      <c r="L26" s="65"/>
      <c r="M26" s="65"/>
      <c r="N26" s="65"/>
      <c r="O26" s="65"/>
      <c r="P26" s="65"/>
    </row>
    <row r="27" spans="2:16" ht="15.75" x14ac:dyDescent="0.25">
      <c r="D27" s="77" t="s">
        <v>156</v>
      </c>
      <c r="M27" t="s">
        <v>328</v>
      </c>
    </row>
    <row r="28" spans="2:16" x14ac:dyDescent="0.25">
      <c r="J28" s="3" t="s">
        <v>201</v>
      </c>
      <c r="K28" s="5">
        <v>3400</v>
      </c>
      <c r="L28" s="3" t="s">
        <v>202</v>
      </c>
      <c r="M28" s="3">
        <v>40</v>
      </c>
    </row>
    <row r="29" spans="2:16" ht="15.75" thickBot="1" x14ac:dyDescent="0.3">
      <c r="F29" s="15" t="s">
        <v>51</v>
      </c>
      <c r="G29" s="43">
        <f>K36*12</f>
        <v>152400</v>
      </c>
      <c r="J29" s="3"/>
      <c r="K29" s="5"/>
      <c r="L29" s="3"/>
      <c r="M29" s="3"/>
    </row>
    <row r="30" spans="2:16" x14ac:dyDescent="0.25">
      <c r="F30" s="297" t="s">
        <v>203</v>
      </c>
      <c r="G30" s="298"/>
      <c r="J30" s="3"/>
      <c r="K30" s="5"/>
      <c r="L30" s="3"/>
      <c r="M30" s="3"/>
    </row>
    <row r="31" spans="2:16" x14ac:dyDescent="0.25">
      <c r="F31" s="299"/>
      <c r="G31" s="300"/>
      <c r="J31" s="3" t="s">
        <v>204</v>
      </c>
      <c r="K31" s="5">
        <v>4200</v>
      </c>
      <c r="L31" s="3" t="s">
        <v>202</v>
      </c>
      <c r="M31" s="3">
        <v>60</v>
      </c>
    </row>
    <row r="32" spans="2:16" ht="15.75" thickBot="1" x14ac:dyDescent="0.3">
      <c r="F32" s="301"/>
      <c r="G32" s="302"/>
      <c r="J32" s="3"/>
      <c r="K32" s="5"/>
      <c r="L32" s="3"/>
      <c r="M32" s="3"/>
    </row>
    <row r="33" spans="3:14" x14ac:dyDescent="0.25">
      <c r="D33" s="4" t="s">
        <v>14</v>
      </c>
      <c r="E33" s="1">
        <v>20</v>
      </c>
      <c r="J33" s="3"/>
      <c r="K33" s="5"/>
      <c r="L33" s="3"/>
      <c r="M33" s="3"/>
    </row>
    <row r="34" spans="3:14" x14ac:dyDescent="0.25">
      <c r="D34" s="4" t="s">
        <v>83</v>
      </c>
      <c r="E34" s="1">
        <v>3</v>
      </c>
      <c r="F34" s="4" t="s">
        <v>11</v>
      </c>
      <c r="G34" s="1">
        <v>60</v>
      </c>
      <c r="J34" s="3" t="s">
        <v>205</v>
      </c>
      <c r="K34" s="5">
        <v>5100</v>
      </c>
      <c r="L34" s="3" t="s">
        <v>202</v>
      </c>
      <c r="M34" s="3">
        <v>90</v>
      </c>
    </row>
    <row r="35" spans="3:14" x14ac:dyDescent="0.25">
      <c r="F35" s="4" t="s">
        <v>13</v>
      </c>
      <c r="G35" s="1">
        <v>100</v>
      </c>
    </row>
    <row r="36" spans="3:14" x14ac:dyDescent="0.25">
      <c r="F36" s="4" t="s">
        <v>12</v>
      </c>
      <c r="G36" s="1">
        <v>0.3</v>
      </c>
      <c r="J36" s="24" t="s">
        <v>206</v>
      </c>
      <c r="K36" s="82">
        <f>K28+K31+K34</f>
        <v>12700</v>
      </c>
      <c r="M36" s="93">
        <f>SQRT(SUMSQ(M28,M31,M34))</f>
        <v>115.32562594670796</v>
      </c>
      <c r="N36" t="s">
        <v>50</v>
      </c>
    </row>
    <row r="37" spans="3:14" x14ac:dyDescent="0.25">
      <c r="C37" s="24" t="s">
        <v>49</v>
      </c>
      <c r="D37" s="66">
        <f>SQRT((2*K36*12*G35)/(G34*G36))</f>
        <v>1301.2814197295422</v>
      </c>
      <c r="F37" s="4" t="s">
        <v>17</v>
      </c>
      <c r="G37" s="1">
        <v>1.65</v>
      </c>
    </row>
    <row r="38" spans="3:14" ht="15.75" x14ac:dyDescent="0.25">
      <c r="F38" s="4" t="s">
        <v>137</v>
      </c>
      <c r="G38" s="1">
        <v>10</v>
      </c>
      <c r="I38" s="49"/>
      <c r="J38" s="23" t="s">
        <v>207</v>
      </c>
      <c r="K38" s="69">
        <f>SQRT(POWER(M36*SQRT(20/30),2)+POWER((K36/30)*E34,2))</f>
        <v>1273.4860292389026</v>
      </c>
      <c r="L38" s="94"/>
      <c r="M38" s="236">
        <f>M36*SQRT(20/30)</f>
        <v>94.1629792788369</v>
      </c>
      <c r="N38" s="227" t="s">
        <v>50</v>
      </c>
    </row>
    <row r="39" spans="3:14" x14ac:dyDescent="0.25">
      <c r="F39" s="4" t="s">
        <v>208</v>
      </c>
      <c r="G39" s="1">
        <v>2.06E-2</v>
      </c>
      <c r="L39" s="94"/>
    </row>
    <row r="40" spans="3:14" ht="18.75" x14ac:dyDescent="0.3">
      <c r="F40" s="24" t="s">
        <v>59</v>
      </c>
      <c r="G40" s="95">
        <f>(D37/(K36*12))*360</f>
        <v>3.0738931174713593</v>
      </c>
      <c r="J40" s="80" t="s">
        <v>56</v>
      </c>
      <c r="K40" s="216">
        <f>G37*K38</f>
        <v>2101.251948244189</v>
      </c>
      <c r="M40" s="227">
        <f>(K36/30)*3</f>
        <v>1270</v>
      </c>
      <c r="N40" s="227" t="s">
        <v>50</v>
      </c>
    </row>
    <row r="42" spans="3:14" ht="15.75" x14ac:dyDescent="0.25">
      <c r="F42" s="23" t="s">
        <v>77</v>
      </c>
      <c r="G42" s="101">
        <f>(K36/30)*E33+K40</f>
        <v>10567.918614910855</v>
      </c>
      <c r="H42" s="19" t="s">
        <v>209</v>
      </c>
      <c r="L42" s="227" t="s">
        <v>371</v>
      </c>
      <c r="M42" s="227">
        <f>SQRT(SUMSQ(M38,M40))</f>
        <v>1273.4860292389026</v>
      </c>
    </row>
    <row r="44" spans="3:14" ht="15.75" x14ac:dyDescent="0.25">
      <c r="E44" s="12"/>
      <c r="F44" s="23" t="s">
        <v>57</v>
      </c>
      <c r="G44" s="101">
        <f>(D37/2)+K40</f>
        <v>2751.8926581089599</v>
      </c>
      <c r="H44" s="19" t="s">
        <v>209</v>
      </c>
    </row>
    <row r="47" spans="3:14" ht="15.75" x14ac:dyDescent="0.25">
      <c r="C47" s="19" t="s">
        <v>138</v>
      </c>
      <c r="D47" s="12"/>
      <c r="E47" s="12"/>
      <c r="F47" s="70"/>
      <c r="G47" s="70">
        <f>(G29/D37)*G35</f>
        <v>11711.532777565882</v>
      </c>
    </row>
    <row r="48" spans="3:14" ht="15.75" x14ac:dyDescent="0.25">
      <c r="C48" s="19" t="s">
        <v>140</v>
      </c>
      <c r="D48" s="12"/>
      <c r="E48" s="12"/>
      <c r="F48" s="70"/>
      <c r="G48" s="70">
        <f>G44*G34*G36</f>
        <v>49534.067845961275</v>
      </c>
    </row>
    <row r="49" spans="3:7" ht="15.75" x14ac:dyDescent="0.25">
      <c r="C49" s="71" t="s">
        <v>94</v>
      </c>
      <c r="D49" s="52"/>
      <c r="E49" s="52"/>
      <c r="F49" s="72"/>
      <c r="G49" s="72">
        <f>(G29/D37)*K38*G38*G39</f>
        <v>30723.81514879948</v>
      </c>
    </row>
    <row r="50" spans="3:7" ht="18.75" x14ac:dyDescent="0.3">
      <c r="C50" s="73" t="s">
        <v>141</v>
      </c>
      <c r="D50" s="74"/>
      <c r="E50" s="74"/>
      <c r="F50" s="75"/>
      <c r="G50" s="75">
        <f>SUM(G47:G49)</f>
        <v>91969.41577232664</v>
      </c>
    </row>
  </sheetData>
  <mergeCells count="11">
    <mergeCell ref="D9:E9"/>
    <mergeCell ref="F9:G9"/>
    <mergeCell ref="B11:N12"/>
    <mergeCell ref="F30:G32"/>
    <mergeCell ref="B1:M4"/>
    <mergeCell ref="D6:E6"/>
    <mergeCell ref="F6:G6"/>
    <mergeCell ref="D7:E7"/>
    <mergeCell ref="F7:G7"/>
    <mergeCell ref="D8:E8"/>
    <mergeCell ref="F8:G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2AC7-A286-4F86-941F-B9C9FCE3A9D6}">
  <dimension ref="B1:P44"/>
  <sheetViews>
    <sheetView workbookViewId="0">
      <selection activeCell="C25" sqref="C25"/>
    </sheetView>
  </sheetViews>
  <sheetFormatPr baseColWidth="10" defaultRowHeight="15" x14ac:dyDescent="0.25"/>
  <cols>
    <col min="1" max="1" width="8.5703125" customWidth="1"/>
    <col min="5" max="5" width="12.140625" customWidth="1"/>
    <col min="6" max="6" width="12" customWidth="1"/>
    <col min="8" max="8" width="13.7109375" bestFit="1" customWidth="1"/>
  </cols>
  <sheetData>
    <row r="1" spans="2:14" ht="15" customHeight="1" x14ac:dyDescent="0.25">
      <c r="B1" s="271" t="s">
        <v>322</v>
      </c>
      <c r="C1" s="271"/>
      <c r="D1" s="271"/>
      <c r="E1" s="271"/>
      <c r="F1" s="271"/>
      <c r="G1" s="271"/>
      <c r="H1" s="271"/>
      <c r="I1" s="271"/>
      <c r="J1" s="271"/>
      <c r="K1" s="271"/>
      <c r="L1" s="271"/>
      <c r="M1" s="271"/>
      <c r="N1" s="271"/>
    </row>
    <row r="2" spans="2:14" x14ac:dyDescent="0.25">
      <c r="B2" s="271"/>
      <c r="C2" s="271"/>
      <c r="D2" s="271"/>
      <c r="E2" s="271"/>
      <c r="F2" s="271"/>
      <c r="G2" s="271"/>
      <c r="H2" s="271"/>
      <c r="I2" s="271"/>
      <c r="J2" s="271"/>
      <c r="K2" s="271"/>
      <c r="L2" s="271"/>
      <c r="M2" s="271"/>
      <c r="N2" s="271"/>
    </row>
    <row r="3" spans="2:14" x14ac:dyDescent="0.25">
      <c r="B3" s="271"/>
      <c r="C3" s="271"/>
      <c r="D3" s="271"/>
      <c r="E3" s="271"/>
      <c r="F3" s="271"/>
      <c r="G3" s="271"/>
      <c r="H3" s="271"/>
      <c r="I3" s="271"/>
      <c r="J3" s="271"/>
      <c r="K3" s="271"/>
      <c r="L3" s="271"/>
      <c r="M3" s="271"/>
      <c r="N3" s="271"/>
    </row>
    <row r="4" spans="2:14" ht="15.75" thickBot="1" x14ac:dyDescent="0.3">
      <c r="D4" s="6"/>
    </row>
    <row r="5" spans="2:14" ht="15.75" thickBot="1" x14ac:dyDescent="0.3">
      <c r="B5" s="87" t="s">
        <v>210</v>
      </c>
      <c r="C5" s="96" t="s">
        <v>211</v>
      </c>
      <c r="D5" s="96" t="s">
        <v>212</v>
      </c>
      <c r="E5" s="96" t="s">
        <v>213</v>
      </c>
      <c r="F5" s="96" t="s">
        <v>214</v>
      </c>
    </row>
    <row r="6" spans="2:14" ht="15.75" thickBot="1" x14ac:dyDescent="0.3">
      <c r="B6" s="88" t="s">
        <v>215</v>
      </c>
      <c r="C6" s="97">
        <v>265000</v>
      </c>
      <c r="D6" s="97">
        <v>280000</v>
      </c>
      <c r="E6" s="97">
        <v>245000</v>
      </c>
      <c r="F6" s="97">
        <v>230000</v>
      </c>
    </row>
    <row r="7" spans="2:14" x14ac:dyDescent="0.25">
      <c r="B7" s="7"/>
    </row>
    <row r="8" spans="2:14" x14ac:dyDescent="0.25">
      <c r="B8" s="7" t="s">
        <v>216</v>
      </c>
    </row>
    <row r="9" spans="2:14" ht="15.75" thickBot="1" x14ac:dyDescent="0.3">
      <c r="B9" s="7"/>
    </row>
    <row r="10" spans="2:14" ht="15.75" thickBot="1" x14ac:dyDescent="0.3">
      <c r="B10" s="98" t="s">
        <v>255</v>
      </c>
      <c r="C10" s="96" t="s">
        <v>217</v>
      </c>
      <c r="D10" s="96" t="s">
        <v>218</v>
      </c>
      <c r="E10" s="96" t="s">
        <v>219</v>
      </c>
      <c r="F10" s="96" t="s">
        <v>220</v>
      </c>
      <c r="G10" s="96" t="s">
        <v>221</v>
      </c>
      <c r="H10" s="96" t="s">
        <v>222</v>
      </c>
    </row>
    <row r="11" spans="2:14" ht="18.75" customHeight="1" thickBot="1" x14ac:dyDescent="0.3">
      <c r="B11" s="99" t="s">
        <v>256</v>
      </c>
      <c r="C11" s="100">
        <v>15</v>
      </c>
      <c r="D11" s="100">
        <v>14</v>
      </c>
      <c r="E11" s="100">
        <v>13</v>
      </c>
      <c r="F11" s="100">
        <v>18</v>
      </c>
      <c r="G11" s="100">
        <v>13</v>
      </c>
      <c r="H11" s="100">
        <v>16</v>
      </c>
    </row>
    <row r="12" spans="2:14" ht="18.75" customHeight="1" x14ac:dyDescent="0.25">
      <c r="B12" s="7"/>
    </row>
    <row r="13" spans="2:14" ht="15" customHeight="1" x14ac:dyDescent="0.25">
      <c r="B13" s="271" t="s">
        <v>223</v>
      </c>
      <c r="C13" s="271"/>
      <c r="D13" s="271"/>
      <c r="E13" s="271"/>
      <c r="F13" s="271"/>
      <c r="G13" s="271"/>
      <c r="H13" s="271"/>
      <c r="I13" s="271"/>
      <c r="J13" s="271"/>
      <c r="K13" s="271"/>
      <c r="L13" s="271"/>
      <c r="M13" s="271"/>
      <c r="N13" s="271"/>
    </row>
    <row r="14" spans="2:14" x14ac:dyDescent="0.25">
      <c r="B14" s="271"/>
      <c r="C14" s="271"/>
      <c r="D14" s="271"/>
      <c r="E14" s="271"/>
      <c r="F14" s="271"/>
      <c r="G14" s="271"/>
      <c r="H14" s="271"/>
      <c r="I14" s="271"/>
      <c r="J14" s="271"/>
      <c r="K14" s="271"/>
      <c r="L14" s="271"/>
      <c r="M14" s="271"/>
      <c r="N14" s="271"/>
    </row>
    <row r="15" spans="2:14" x14ac:dyDescent="0.25">
      <c r="B15" s="271"/>
      <c r="C15" s="271"/>
      <c r="D15" s="271"/>
      <c r="E15" s="271"/>
      <c r="F15" s="271"/>
      <c r="G15" s="271"/>
      <c r="H15" s="271"/>
      <c r="I15" s="271"/>
      <c r="J15" s="271"/>
      <c r="K15" s="271"/>
      <c r="L15" s="271"/>
      <c r="M15" s="271"/>
      <c r="N15" s="271"/>
    </row>
    <row r="17" spans="2:16" x14ac:dyDescent="0.25">
      <c r="B17" t="s">
        <v>257</v>
      </c>
    </row>
    <row r="18" spans="2:16" x14ac:dyDescent="0.25">
      <c r="B18" t="s">
        <v>224</v>
      </c>
    </row>
    <row r="20" spans="2:16" ht="18.75" x14ac:dyDescent="0.3">
      <c r="B20" s="64" t="s">
        <v>126</v>
      </c>
      <c r="C20" s="65"/>
      <c r="D20" s="65"/>
      <c r="E20" s="65"/>
      <c r="F20" s="65"/>
      <c r="G20" s="65"/>
      <c r="H20" s="65"/>
      <c r="I20" s="65"/>
      <c r="J20" s="65"/>
      <c r="K20" s="65"/>
      <c r="L20" s="65"/>
      <c r="M20" s="65"/>
      <c r="N20" s="65"/>
      <c r="O20" s="65"/>
      <c r="P20" s="65"/>
    </row>
    <row r="21" spans="2:16" ht="15.75" x14ac:dyDescent="0.25">
      <c r="B21" s="4" t="s">
        <v>369</v>
      </c>
      <c r="C21" s="6">
        <f>AVERAGE(C6:F6)</f>
        <v>255000</v>
      </c>
      <c r="I21" s="77" t="s">
        <v>156</v>
      </c>
    </row>
    <row r="22" spans="2:16" ht="15.75" x14ac:dyDescent="0.25">
      <c r="B22" s="4" t="s">
        <v>51</v>
      </c>
      <c r="C22" s="6">
        <f>SUM(C6:F6)</f>
        <v>1020000</v>
      </c>
      <c r="D22" t="s">
        <v>75</v>
      </c>
      <c r="E22" s="23" t="s">
        <v>49</v>
      </c>
      <c r="F22" s="237">
        <f>SQRT((2*C22*C23)/(C24*C25))</f>
        <v>134164.07864998738</v>
      </c>
      <c r="G22" s="19" t="s">
        <v>75</v>
      </c>
      <c r="I22" s="4" t="s">
        <v>159</v>
      </c>
      <c r="J22" s="102">
        <f>STDEV(C6:F6)</f>
        <v>21984.8432637882</v>
      </c>
      <c r="K22" t="s">
        <v>75</v>
      </c>
      <c r="L22" t="s">
        <v>225</v>
      </c>
    </row>
    <row r="23" spans="2:16" x14ac:dyDescent="0.25">
      <c r="B23" s="4" t="s">
        <v>13</v>
      </c>
      <c r="C23">
        <v>150</v>
      </c>
      <c r="I23" s="4" t="s">
        <v>83</v>
      </c>
      <c r="J23" s="21">
        <f>STDEV(C11:H11)</f>
        <v>1.9407902170679476</v>
      </c>
      <c r="K23" t="s">
        <v>61</v>
      </c>
    </row>
    <row r="24" spans="2:16" x14ac:dyDescent="0.25">
      <c r="B24" s="4" t="s">
        <v>12</v>
      </c>
      <c r="C24">
        <v>0.2</v>
      </c>
      <c r="I24" s="4" t="s">
        <v>14</v>
      </c>
      <c r="J24" s="21">
        <f>AVERAGE(C11:H11)</f>
        <v>14.833333333333334</v>
      </c>
      <c r="K24" t="s">
        <v>61</v>
      </c>
    </row>
    <row r="25" spans="2:16" x14ac:dyDescent="0.25">
      <c r="B25" s="4" t="s">
        <v>11</v>
      </c>
      <c r="C25">
        <v>8.5000000000000006E-2</v>
      </c>
      <c r="I25" s="24" t="s">
        <v>59</v>
      </c>
      <c r="J25" s="67">
        <f>(F22/C22)*360</f>
        <v>47.352027758819077</v>
      </c>
      <c r="K25" s="11" t="s">
        <v>61</v>
      </c>
    </row>
    <row r="26" spans="2:16" x14ac:dyDescent="0.25">
      <c r="B26" s="4" t="s">
        <v>137</v>
      </c>
      <c r="C26">
        <v>0.02</v>
      </c>
    </row>
    <row r="27" spans="2:16" ht="15.75" x14ac:dyDescent="0.25">
      <c r="H27" s="19"/>
      <c r="I27" s="23" t="s">
        <v>134</v>
      </c>
      <c r="J27" s="103">
        <f>SQRT(POWER(J22*SQRT((J24+J25)/90),2)+POWER((C22/360)*J23,2))</f>
        <v>19083.929984231254</v>
      </c>
      <c r="K27" s="19" t="s">
        <v>75</v>
      </c>
      <c r="M27" s="3" t="s">
        <v>226</v>
      </c>
    </row>
    <row r="29" spans="2:16" x14ac:dyDescent="0.25">
      <c r="J29" s="4" t="s">
        <v>159</v>
      </c>
      <c r="K29">
        <f>J22*SQRT((J24+J25)/90)</f>
        <v>18274.529287510468</v>
      </c>
    </row>
    <row r="30" spans="2:16" x14ac:dyDescent="0.25">
      <c r="B30" s="36" t="s">
        <v>227</v>
      </c>
      <c r="F30" s="4" t="s">
        <v>228</v>
      </c>
      <c r="G30">
        <v>2.0499999999999998</v>
      </c>
      <c r="J30" s="4" t="s">
        <v>83</v>
      </c>
      <c r="K30">
        <f>(C21/90)*J23</f>
        <v>5498.9056150258521</v>
      </c>
    </row>
    <row r="31" spans="2:16" x14ac:dyDescent="0.25">
      <c r="F31" s="4"/>
    </row>
    <row r="32" spans="2:16" ht="15.75" x14ac:dyDescent="0.25">
      <c r="F32" s="23" t="s">
        <v>56</v>
      </c>
      <c r="G32" s="104">
        <f>G30*J27</f>
        <v>39122.056467674069</v>
      </c>
      <c r="H32" s="11" t="s">
        <v>75</v>
      </c>
      <c r="J32" s="15" t="s">
        <v>370</v>
      </c>
      <c r="K32" s="231">
        <f>SQRT(SUMSQ(K29,K30))</f>
        <v>19083.929984231254</v>
      </c>
    </row>
    <row r="34" spans="2:8" ht="15.75" x14ac:dyDescent="0.25">
      <c r="E34" s="49"/>
      <c r="F34" s="23" t="s">
        <v>229</v>
      </c>
      <c r="G34" s="104">
        <f>G32+F22</f>
        <v>173286.13511766144</v>
      </c>
      <c r="H34" s="19" t="s">
        <v>75</v>
      </c>
    </row>
    <row r="35" spans="2:8" x14ac:dyDescent="0.25">
      <c r="F35" s="15"/>
    </row>
    <row r="36" spans="2:8" ht="15.75" x14ac:dyDescent="0.25">
      <c r="E36" s="49"/>
      <c r="F36" s="23" t="s">
        <v>230</v>
      </c>
      <c r="G36" s="104">
        <f>(F22/2)+G32</f>
        <v>106204.09579266777</v>
      </c>
      <c r="H36" s="19" t="s">
        <v>75</v>
      </c>
    </row>
    <row r="38" spans="2:8" ht="15.75" x14ac:dyDescent="0.25">
      <c r="F38" s="23" t="s">
        <v>101</v>
      </c>
      <c r="G38" s="104">
        <f>(C22/360)*(J25+J24)+G32</f>
        <v>215313.91289543925</v>
      </c>
      <c r="H38" s="19" t="s">
        <v>75</v>
      </c>
    </row>
    <row r="39" spans="2:8" x14ac:dyDescent="0.25">
      <c r="B39" s="36" t="s">
        <v>136</v>
      </c>
    </row>
    <row r="41" spans="2:8" ht="15.75" x14ac:dyDescent="0.25">
      <c r="C41" s="84" t="s">
        <v>137</v>
      </c>
      <c r="D41" s="85">
        <v>0.02</v>
      </c>
      <c r="E41" s="19" t="s">
        <v>138</v>
      </c>
      <c r="F41" s="12"/>
      <c r="G41" s="12"/>
      <c r="H41" s="70">
        <f>(C22/F22)*C23</f>
        <v>1140.3946685248927</v>
      </c>
    </row>
    <row r="42" spans="2:8" ht="15.75" x14ac:dyDescent="0.25">
      <c r="C42" s="4" t="s">
        <v>139</v>
      </c>
      <c r="D42" s="1">
        <v>7.4000000000000003E-3</v>
      </c>
      <c r="E42" s="19" t="s">
        <v>140</v>
      </c>
      <c r="F42" s="12"/>
      <c r="G42" s="12"/>
      <c r="H42" s="70">
        <f>G36*C24*C25</f>
        <v>1805.4696284753522</v>
      </c>
    </row>
    <row r="43" spans="2:8" ht="15.75" x14ac:dyDescent="0.25">
      <c r="E43" s="71" t="s">
        <v>94</v>
      </c>
      <c r="F43" s="52"/>
      <c r="G43" s="52"/>
      <c r="H43" s="72">
        <f>(C22/F22)*J27*D41*D42</f>
        <v>21.47303584840607</v>
      </c>
    </row>
    <row r="44" spans="2:8" ht="18.75" x14ac:dyDescent="0.3">
      <c r="E44" s="73" t="s">
        <v>141</v>
      </c>
      <c r="F44" s="74"/>
      <c r="G44" s="74"/>
      <c r="H44" s="75">
        <f>SUM(H41:H43)</f>
        <v>2967.3373328486509</v>
      </c>
    </row>
  </sheetData>
  <mergeCells count="2">
    <mergeCell ref="B1:N3"/>
    <mergeCell ref="B13:N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TEORIA 1</vt:lpstr>
      <vt:lpstr>TEORIA 2</vt:lpstr>
      <vt:lpstr>TEORIA 3</vt:lpstr>
      <vt:lpstr>EJEMPLO</vt:lpstr>
      <vt:lpstr>PREG 1</vt:lpstr>
      <vt:lpstr>PREG 2</vt:lpstr>
      <vt:lpstr>PREG 3</vt:lpstr>
      <vt:lpstr>PREG 4</vt:lpstr>
      <vt:lpstr>PREG 5</vt:lpstr>
      <vt:lpstr>PREG 6</vt:lpstr>
      <vt:lpstr>PREG 7</vt:lpstr>
      <vt:lpstr>PREG 8</vt:lpstr>
      <vt:lpstr>PREG 9</vt:lpstr>
      <vt:lpstr>PREG 10</vt:lpstr>
      <vt:lpstr>PREG 11</vt:lpstr>
      <vt:lpstr>PREG 12</vt:lpstr>
      <vt:lpstr>PREG 13</vt:lpstr>
      <vt:lpstr>PREG 14</vt:lpstr>
      <vt:lpstr>EJEMPLO DESV_EST</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Alex Vidal Paredes</cp:lastModifiedBy>
  <dcterms:created xsi:type="dcterms:W3CDTF">2020-05-21T12:33:36Z</dcterms:created>
  <dcterms:modified xsi:type="dcterms:W3CDTF">2023-09-14T13:53:11Z</dcterms:modified>
</cp:coreProperties>
</file>