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HP\Documents\ALEX VIDAL 2022\GESTION CADENA DE SUMINISTROS 2022\"/>
    </mc:Choice>
  </mc:AlternateContent>
  <xr:revisionPtr revIDLastSave="0" documentId="13_ncr:1_{1FA197F9-C9B2-45FF-9113-C37B4076FC97}" xr6:coauthVersionLast="47" xr6:coauthVersionMax="47" xr10:uidLastSave="{00000000-0000-0000-0000-000000000000}"/>
  <bookViews>
    <workbookView xWindow="-120" yWindow="-120" windowWidth="20730" windowHeight="11160" tabRatio="850" activeTab="6" xr2:uid="{149DEFF5-5EBF-46D2-854E-BC82509ED6D3}"/>
  </bookViews>
  <sheets>
    <sheet name="PREG 1" sheetId="17" r:id="rId1"/>
    <sheet name="PREG 2" sheetId="18" r:id="rId2"/>
    <sheet name="PREG 3" sheetId="19" r:id="rId3"/>
    <sheet name="PREG 4" sheetId="20" r:id="rId4"/>
    <sheet name="PREG 5" sheetId="24" r:id="rId5"/>
    <sheet name="PREG 6" sheetId="23" r:id="rId6"/>
    <sheet name="PREG 7" sheetId="2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24" l="1"/>
  <c r="J32" i="24"/>
  <c r="J37" i="24" s="1"/>
  <c r="J39" i="24" s="1"/>
  <c r="F27" i="24"/>
  <c r="F25" i="24"/>
  <c r="M22" i="24"/>
  <c r="L22" i="24"/>
  <c r="K22" i="24"/>
  <c r="J22" i="24"/>
  <c r="H22" i="24"/>
  <c r="J21" i="24"/>
  <c r="H21" i="24"/>
  <c r="F26" i="24" s="1"/>
  <c r="L20" i="24"/>
  <c r="K20" i="24"/>
  <c r="J20" i="24"/>
  <c r="M20" i="24" s="1"/>
  <c r="K21" i="24" l="1"/>
  <c r="M21" i="24" s="1"/>
  <c r="L21" i="24"/>
  <c r="H25" i="23" l="1"/>
  <c r="M22" i="23"/>
  <c r="G22" i="23"/>
  <c r="F22" i="23"/>
  <c r="E22" i="23"/>
  <c r="H22" i="23" s="1"/>
  <c r="M21" i="23"/>
  <c r="G21" i="23"/>
  <c r="F21" i="23"/>
  <c r="E21" i="23"/>
  <c r="H21" i="23" s="1"/>
  <c r="M20" i="23"/>
  <c r="H20" i="23"/>
  <c r="G20" i="23"/>
  <c r="F20" i="23"/>
  <c r="E20" i="23"/>
  <c r="M19" i="23"/>
  <c r="M23" i="23" s="1"/>
  <c r="H26" i="23" s="1"/>
  <c r="L16" i="23"/>
  <c r="I16" i="23"/>
  <c r="I15" i="23"/>
  <c r="L15" i="23" s="1"/>
  <c r="L14" i="23"/>
  <c r="D23" i="22"/>
  <c r="G23" i="22" s="1"/>
  <c r="D22" i="22"/>
  <c r="G22" i="22" s="1"/>
  <c r="L16" i="22"/>
  <c r="C17" i="22" s="1"/>
  <c r="C18" i="22" s="1"/>
  <c r="L15" i="22"/>
  <c r="L14" i="22"/>
  <c r="L13" i="22"/>
  <c r="F13" i="22"/>
  <c r="L12" i="22"/>
  <c r="M50" i="20"/>
  <c r="M49" i="20"/>
  <c r="I43" i="20"/>
  <c r="K49" i="20" s="1"/>
  <c r="N49" i="20" s="1"/>
  <c r="N51" i="20" s="1"/>
  <c r="H52" i="20" s="1"/>
  <c r="I36" i="20"/>
  <c r="F34" i="20" s="1"/>
  <c r="F37" i="20" s="1"/>
  <c r="F36" i="20"/>
  <c r="F35" i="20"/>
  <c r="I25" i="20"/>
  <c r="F26" i="20" s="1"/>
  <c r="F25" i="20"/>
  <c r="F21" i="20"/>
  <c r="F20" i="20"/>
  <c r="F19" i="20"/>
  <c r="F18" i="20"/>
  <c r="C35" i="19"/>
  <c r="L33" i="19"/>
  <c r="C33" i="19"/>
  <c r="L32" i="19" s="1"/>
  <c r="L31" i="19"/>
  <c r="L34" i="19" s="1"/>
  <c r="C31" i="19"/>
  <c r="F26" i="19"/>
  <c r="C24" i="19"/>
  <c r="J26" i="19" s="1"/>
  <c r="J22" i="19"/>
  <c r="H22" i="19"/>
  <c r="F22" i="19"/>
  <c r="L22" i="19" s="1"/>
  <c r="F20" i="19"/>
  <c r="G19" i="18"/>
  <c r="G18" i="18"/>
  <c r="G17" i="18"/>
  <c r="M13" i="18"/>
  <c r="H18" i="18" s="1"/>
  <c r="I12" i="18"/>
  <c r="I26" i="17"/>
  <c r="M22" i="17"/>
  <c r="I27" i="17" s="1"/>
  <c r="H21" i="17"/>
  <c r="G21" i="17"/>
  <c r="F21" i="17"/>
  <c r="I21" i="17" s="1"/>
  <c r="H20" i="17"/>
  <c r="G20" i="17"/>
  <c r="F20" i="17"/>
  <c r="I20" i="17" s="1"/>
  <c r="G15" i="17"/>
  <c r="G14" i="17"/>
  <c r="H27" i="23" l="1"/>
  <c r="G15" i="22"/>
  <c r="F22" i="22"/>
  <c r="I22" i="22" s="1"/>
  <c r="K23" i="22" s="1"/>
  <c r="H23" i="22"/>
  <c r="G16" i="22"/>
  <c r="H22" i="22"/>
  <c r="F23" i="22"/>
  <c r="I23" i="22" s="1"/>
  <c r="F46" i="20"/>
  <c r="F27" i="20"/>
  <c r="F28" i="20" s="1"/>
  <c r="F30" i="20" s="1"/>
  <c r="F41" i="20"/>
  <c r="F24" i="19"/>
  <c r="H26" i="19"/>
  <c r="L26" i="19" s="1"/>
  <c r="F18" i="18"/>
  <c r="I18" i="18" s="1"/>
  <c r="I13" i="18"/>
  <c r="I14" i="18"/>
  <c r="F19" i="18"/>
  <c r="I19" i="18" s="1"/>
  <c r="F17" i="18"/>
  <c r="H17" i="18"/>
  <c r="H19" i="18"/>
  <c r="I28" i="17"/>
  <c r="F47" i="20" l="1"/>
  <c r="F44" i="20" s="1"/>
  <c r="J52" i="20" s="1"/>
  <c r="J53" i="20" s="1"/>
  <c r="I17" i="18"/>
  <c r="J54" i="20" l="1"/>
  <c r="I41" i="20"/>
  <c r="F48" i="20"/>
  <c r="O41" i="20" s="1"/>
  <c r="F43" i="20" l="1"/>
  <c r="F42" i="20"/>
</calcChain>
</file>

<file path=xl/sharedStrings.xml><?xml version="1.0" encoding="utf-8"?>
<sst xmlns="http://schemas.openxmlformats.org/spreadsheetml/2006/main" count="289" uniqueCount="176">
  <si>
    <t xml:space="preserve">Una compañía metalmecánica compra bobinas de acero de 4 mm de espesor para la fabricación de placas de acero para la industria de la construcción.  Cada bobina tiene un peso promedio de 10 toneladas y su precio es de $2000 aproximadamente. Las bobinas de acero son utilizadas para la fabricación de placas las cuales componen un juego que se vende de esta forma. La demanda actual de juegos de placas de acero esta en 30,000 juegos por año. En promedio cada bobina de acero tiene 45 metros de longitud y está calculado que cada juego requiere de 1.5 metros de bobina. Realizar una compra de un lote de bobinas tiene un costo de $250 cada vez que se hace un pedido y el costo de almacenamiento de este producto es de 12% al año.
El proveedor de bobinas de acero le ofrece a su cliente una estrategia de precios y le pide escoger entre uno de ellos. Para compras menores a 50 bobinas el precio se mantiene en $2000. El primer descuento es de 3% en el valor del precio de compra si el tamaño del pedido es mayor o igual a 50 bobinas, pero menor a 100 y un descuento de 5% si es mayor o igual a 100 bobinas. </t>
  </si>
  <si>
    <t>Calcular el costo de cada alternativa y decidir cual es la mejor alternativa</t>
  </si>
  <si>
    <t xml:space="preserve">Se ha reunido información para instalar una planta y fabricar las bobinas de acero. Los costos de instalación de la planta y por bobina son los siguientes:
- Inversión para construir la planta y equiparla S/ 20,000,000 (20 años de vida útil)
- Costo unitario del material MP:  S/ 250
- Costo de mano de obra MO:  S/ 10.50
- Gastos de fabricación:  S/ 33.50
- Gastos administrativos: 40% del costo primo  (MP + MO) </t>
  </si>
  <si>
    <t>1. Calcular el beneficio logrado en la primera negociación con el proveedor Chino</t>
  </si>
  <si>
    <t>2. Calcular el costo total anual de la alternativa del proveedor local</t>
  </si>
  <si>
    <t>3. Calcular el tamaño de lote de compra con el proveedor Chino para lograr el beneficio del 10% en la segunda negociación</t>
  </si>
  <si>
    <t>GASTOS DE FABRICACIÓN</t>
  </si>
  <si>
    <t>GASTOS ADMINISTRATIVOS</t>
  </si>
  <si>
    <t>Un proveedor de lentes de seguridad vende a sus clientes con una demanda anual de 10000 und. Los vende a su cliente al precio de S/ 5 la unidad, si la cantidad de compra es menor a 500 unidades. Ofrece un descuento de 5 % si es mayor o igual a 500 unidades. El costo de realizar un pedido es de S/ 10 y el costo anual de almacenamiento es de 25%.
Instalar una planta para fabricar los lentes de seguridad tiene un costo de S/ 90,000 con una depreciación lineal de 20 años. Los costos por lente de seguridad son:</t>
  </si>
  <si>
    <t>Mano de obra directa MOD</t>
  </si>
  <si>
    <t>Costo de Materiales</t>
  </si>
  <si>
    <t>Gastos de Adm y Ventas</t>
  </si>
  <si>
    <t>Considerar 360 días al año, 7 días a la semana y 52 semanas al año</t>
  </si>
  <si>
    <t>La empresa FABRITEX produce buzos en tejido de punto, este insumo lo adquiere a en rollos de 50 metros cada uno. El consumo anual de dicho producto es de 15000 rollos y el proveedor es un fabricante nacional que ofrece lo siguiente: $80 por rollo, si el tamaño del pedido es menor que 1000 rollos; para pedidos mayores o iguales que 1000 pero menores que 4000 rollos, hace un descuento de 5% y para pedidos de mayor volumen el precio de cada rollo recibirá un descuento de 8% del precio original. El costo de pedir un lote de tela es de U$ 40 y el costo de guardar en inventario es i=0,25.
El nivel de calidad del proveedor es de 2% y su tiempo de entrega es de 4 semanas. 
Así mismo el gerente logístico ha reunido información sobre los costos y gastos necesarios para producir el artículo en una planta propia:</t>
  </si>
  <si>
    <t>Inversión para construir la planta y equiparla $2 000 000 (20 años de vida útil).</t>
  </si>
  <si>
    <t>Costo unitario del material</t>
  </si>
  <si>
    <t>por rollo</t>
  </si>
  <si>
    <t xml:space="preserve">Costo de mano de obra </t>
  </si>
  <si>
    <t>Gastos fabricación (sin deprec)</t>
  </si>
  <si>
    <t>Gastos administrativos</t>
  </si>
  <si>
    <t>del costo primo (MP + MO)</t>
  </si>
  <si>
    <t>La compañía MODATEX fabrica pijamas para damas en tejido de punto para venderlas en el mercado nacional. El tejido de punto se compra en rollos de 50 metros siendo la demanda anual de 30000 rollos por año. El costo de realizar un pedido es de $140 y el costo anual para mantener el inventario es de 30%.
El proveedor de tejido de punto ofrece la siguiente oferta: para lotes con menos o igual a 500 rollos el costo unitario de un rollo es de U$90 y brinda un 10% de descuento en el precio unitario por rollo si el pedido es de mas de 500 rollos.
De otro lado se está evaluando la propuesta de crear una planta para producir los rollos de tela en cuyo caso los costos estimados serían:</t>
  </si>
  <si>
    <t>ELEMENTOS DEL COSTO VARIABLE</t>
  </si>
  <si>
    <t>$ / ROLLO</t>
  </si>
  <si>
    <t>MANO DE OBRA DIRECTA</t>
  </si>
  <si>
    <t>MATERIALES DIRECTOS</t>
  </si>
  <si>
    <t>Construir la planta y equiparla requiere una inversión de U$400000, con una vida útil de 20 años; la tasa de interés anual sobre el préstamo sería de 7%.
Se pide determinar:</t>
  </si>
  <si>
    <t>1. El costo total de adquisición anual si compramos al proveedor lotes menores de 500 rollos</t>
  </si>
  <si>
    <t>2. El costo anual de adquisición si compramos lotes mayores o iguales que 500 lotes</t>
  </si>
  <si>
    <t>3. El costo total anual de producir la tela</t>
  </si>
  <si>
    <t>QUIMICA POLAR produce el compuesto RX-573 en su planta en Lima y las distribuye a sus 4 almacenes en el Perú. El compuesto RX-573 está contenido en frascos de plástico de 1 litro cada uno y se vende en cajas de 48 unidades.  El proveedor local de los frascos está ofreciendo una estructura de descuentos por cantidad para motivar a la planta a comprar en cantidades mayores a las habituales. Para compras menores a 80 millares unidades el precio es de S/. 800 por millar y ofrece un 5% de descuento en el precio por millar para compras mayores o iguales a 80 millares. Las compras son siempre en múltiplos de un millar y los precios incluyen la entrega hasta la planta química. La demanda mensual de los almacenes es de 400, 500, 680 y 1.200 cajas respectivamente. Los costos de preparación de una orden de compra son de S/. 300 y el costo de almacenamiento es de 20% anual.</t>
  </si>
  <si>
    <t>HARLEY DAVIDSON tiene su planta de ensamblaje de motores en Milwaukee, siendo la tasa diaria de 300 por día. Un componente importante para el ensamble del motor es el HD-M13, el mismo que está siendo ofertado por dos proveedores A y B.
El proveedor A cobra $ 38 por componente si se adquieren lotes mayores o iguales que 1,000 unidades y por volúmenes menores, el costo unitario sería de $ 40. El lead time o tiempo de reaprovisionamiento es de 7 días.
El proveedor B ofrece un precio único $39 para cualquier volumen y un tiempo de entrega de 5 días. 
Ambos proveedores demuestran un mismo nivel de calidad.
Colocar un lote de componentes HD-M13 cuesta $ 50 y mantenerlos en inventario 30% por año.</t>
  </si>
  <si>
    <t>SOLUCION</t>
  </si>
  <si>
    <t>Condiciones:</t>
  </si>
  <si>
    <t>5 si es menor a 500 und</t>
  </si>
  <si>
    <t>Q =</t>
  </si>
  <si>
    <t>SI CUMPLE</t>
  </si>
  <si>
    <t xml:space="preserve">D = </t>
  </si>
  <si>
    <t>UND</t>
  </si>
  <si>
    <t xml:space="preserve"> 5 x 0.95 =</t>
  </si>
  <si>
    <t>4.75 si es mayor o igual a 500 und</t>
  </si>
  <si>
    <t>NO CUMPLE</t>
  </si>
  <si>
    <t xml:space="preserve">S = </t>
  </si>
  <si>
    <t xml:space="preserve">C = </t>
  </si>
  <si>
    <t xml:space="preserve">I = </t>
  </si>
  <si>
    <t>PRECIO (C)</t>
  </si>
  <si>
    <t>TAMAÑO DE LOTE Q</t>
  </si>
  <si>
    <t>COSTO PEDIDOS</t>
  </si>
  <si>
    <t>COSTO ALMACEN.</t>
  </si>
  <si>
    <t>COSTO COMPRA</t>
  </si>
  <si>
    <t>COSTO TOTAL</t>
  </si>
  <si>
    <t>CTL(A)</t>
  </si>
  <si>
    <t>CTL(B)</t>
  </si>
  <si>
    <t>COSTO UNITARIO</t>
  </si>
  <si>
    <t>FABRICAR LOS LENTES</t>
  </si>
  <si>
    <t xml:space="preserve">COSTO = </t>
  </si>
  <si>
    <t xml:space="preserve">VIDA UTIL = </t>
  </si>
  <si>
    <t>AÑOS</t>
  </si>
  <si>
    <t>COSTO INVERSIÓN ANUAL</t>
  </si>
  <si>
    <t>COSTO PRODUCCIÓN</t>
  </si>
  <si>
    <t>SOLUCIÓN:</t>
  </si>
  <si>
    <t>dem_dia =</t>
  </si>
  <si>
    <t>motores</t>
  </si>
  <si>
    <t xml:space="preserve">asumimos </t>
  </si>
  <si>
    <t>días / año</t>
  </si>
  <si>
    <t>PROVEEDOR A</t>
  </si>
  <si>
    <t>por lotes menores a 1000 und</t>
  </si>
  <si>
    <t>Q(40) =</t>
  </si>
  <si>
    <t>CUMPLE</t>
  </si>
  <si>
    <t>por lotes mayor o iguales a 1000 und</t>
  </si>
  <si>
    <t>Q(38) =</t>
  </si>
  <si>
    <t>PROVEEDOR B</t>
  </si>
  <si>
    <t>para cualquier cantidad</t>
  </si>
  <si>
    <t>Q(39) =</t>
  </si>
  <si>
    <t>T.LOTE Q</t>
  </si>
  <si>
    <t>C. PEDIDOS</t>
  </si>
  <si>
    <t>C. ALMACENAM.</t>
  </si>
  <si>
    <t>C. COMPRA</t>
  </si>
  <si>
    <t>CTL(PROV A)</t>
  </si>
  <si>
    <t>MEJOR ESCENARIO</t>
  </si>
  <si>
    <t>CTL(PROV B)</t>
  </si>
  <si>
    <t xml:space="preserve">Q (90) = </t>
  </si>
  <si>
    <t>NO APLICA</t>
  </si>
  <si>
    <t xml:space="preserve">CTL (500) = </t>
  </si>
  <si>
    <t xml:space="preserve">C' = </t>
  </si>
  <si>
    <t xml:space="preserve">Q (81) = </t>
  </si>
  <si>
    <t>APLICA</t>
  </si>
  <si>
    <t xml:space="preserve">CTL (588) = </t>
  </si>
  <si>
    <t xml:space="preserve">INVERSIÓN = </t>
  </si>
  <si>
    <t xml:space="preserve">TASA = </t>
  </si>
  <si>
    <t xml:space="preserve">INTERES AÑO = </t>
  </si>
  <si>
    <t>COSTO CONSTRUCC</t>
  </si>
  <si>
    <t xml:space="preserve">CONSTRUC = </t>
  </si>
  <si>
    <t>COSTO FINANCIERO</t>
  </si>
  <si>
    <t xml:space="preserve">COSTO UNIT = </t>
  </si>
  <si>
    <t>PETROLERA ACME compra tubos de acero para perforación  a su proveedor de China en $ 340 por unidad puestos en el almacén de Paita. Se acomodan 240 tubos en un contenedor y  se realizan 10 envíos al año. La producción requiere en promedio 2400  tubos de acero para perforación al año y mantenimiento se encarga de instalarlos en los pozos. El costo de almacenamiento anual en Paita es de 25%, se mantiene un inventario de seguridad de 400 tubos y realizar una orden de compra de tubos tiene un costo de $ 150. Al realizar una primera negociación el acuerdo fue reducir el precio de venta en 5% siempre que se realicen 2 envíos al año.
Usted analiza la alternativa de un proveedor local que le ofrece un precio de $400 por unidad y puede comprar bajo demanda. Por la cercanía del proveedor ya no se dispondrá de inventario de seguridad, se mantienen los costos del escenario anterior y se decide comprar en 52 envíos al año. 
Al no encontrar beneficio con el proveedor local, Usted negocia por segunda vez con el proveedor Chino con el objetivo de lograr un beneficio del 10% sobre el costo total logístico anual del escenario original. Solo cambia el descuento para lograr el objetivo, mantiene los 10 envíos y todos los datos del escenario original.</t>
  </si>
  <si>
    <t>SOLUCIÓN</t>
  </si>
  <si>
    <t>1. ESCENARIO PROVEEDOR CHINO (10 envíos)</t>
  </si>
  <si>
    <t xml:space="preserve">SS = </t>
  </si>
  <si>
    <t>COSTO DE REALIZAR PEDIDOS</t>
  </si>
  <si>
    <t>COSTO DE ALMACENAMIENTO</t>
  </si>
  <si>
    <t>COSTO DE COMPRA</t>
  </si>
  <si>
    <t xml:space="preserve">Q = </t>
  </si>
  <si>
    <t>COSTO TOTAL LOGÍSTICO</t>
  </si>
  <si>
    <t>ESCENARIO PROVEEDOR CHINO (2 envíos y 5% de descuento)</t>
  </si>
  <si>
    <t>BENEFICIO LOGRADO:</t>
  </si>
  <si>
    <t>RESPUESTA</t>
  </si>
  <si>
    <t>2. ESCENARIO PROVEEDOR LOCAL</t>
  </si>
  <si>
    <t>3. ESCENARIO PROVEEDOR CHINO CON 10 ENVÍOS</t>
  </si>
  <si>
    <t xml:space="preserve">CUAL ES EL DESCUENTO PARA LOGRAR UN BENEFICIO DE </t>
  </si>
  <si>
    <t>COSTO TOTAL DE 1RA NEGOCIACIÓN</t>
  </si>
  <si>
    <t>ASUMIMOS QUE EL BENEFICIO DEL 10% ES CONTRA EL ESCENARIO 1</t>
  </si>
  <si>
    <t>PARA LOGRAR EL BENEFICIO DE 10%</t>
  </si>
  <si>
    <t xml:space="preserve">BENEFICIO DEL 10% </t>
  </si>
  <si>
    <t>INV_PROM</t>
  </si>
  <si>
    <t>C</t>
  </si>
  <si>
    <t>I</t>
  </si>
  <si>
    <t>COSTO</t>
  </si>
  <si>
    <t>X</t>
  </si>
  <si>
    <t>X     =</t>
  </si>
  <si>
    <t xml:space="preserve">X     = </t>
  </si>
  <si>
    <t>DESCUENTO</t>
  </si>
  <si>
    <t>CTL(1)</t>
  </si>
  <si>
    <t>CTL(2)</t>
  </si>
  <si>
    <t>RANGO DE DESCUENTOS</t>
  </si>
  <si>
    <t>PRECIO COMPRA</t>
  </si>
  <si>
    <t>DEMANDA MENSUAL POR ALMACEN</t>
  </si>
  <si>
    <t>MENOR A 80 MILLARES</t>
  </si>
  <si>
    <t>ALM 1</t>
  </si>
  <si>
    <t>CAJAS</t>
  </si>
  <si>
    <t>FRASCOS</t>
  </si>
  <si>
    <t>MAYOR O IGUAL A 80 MILLARES</t>
  </si>
  <si>
    <t>ALM 2</t>
  </si>
  <si>
    <t>ALM 3</t>
  </si>
  <si>
    <t>S =</t>
  </si>
  <si>
    <t>Q(1) =</t>
  </si>
  <si>
    <t>ALM 4</t>
  </si>
  <si>
    <t>Q(2) =</t>
  </si>
  <si>
    <t>DEMANDA MENSUAL DE FRASCOS</t>
  </si>
  <si>
    <t>MILLAR / FRASCOS</t>
  </si>
  <si>
    <t>COMPRAS EN MULTIPLOS DE 1 MILLAR</t>
  </si>
  <si>
    <t>AHORRO</t>
  </si>
  <si>
    <t>COMO NO CUMPLE LA CONDICIÓN PARA EL DESCUENTO … TOMAMOS EL MENOR DEL RANGO</t>
  </si>
  <si>
    <t>MENOR QUE 1000 ROLLOS</t>
  </si>
  <si>
    <t>TAMAÑO DE LOTE</t>
  </si>
  <si>
    <t>ROLLOS</t>
  </si>
  <si>
    <t>MAYOR O GUAL A 1000 MENOR A 4000</t>
  </si>
  <si>
    <t>MAYOR A 4000</t>
  </si>
  <si>
    <t>COSTO UNITARIO DE PRODUCCIÓN</t>
  </si>
  <si>
    <t>COSTO ANUAL DE INVERSIÓN</t>
  </si>
  <si>
    <t>COSTO ANUAL DE PRODUCCIÓN</t>
  </si>
  <si>
    <t>Q</t>
  </si>
  <si>
    <t>COSTO REALIZAR PEDIDOS</t>
  </si>
  <si>
    <t>COSTO ALMACE</t>
  </si>
  <si>
    <t>VALOR DE COMPRA</t>
  </si>
  <si>
    <t>CTL</t>
  </si>
  <si>
    <t>BOBINAS</t>
  </si>
  <si>
    <t xml:space="preserve">CTL (46) = </t>
  </si>
  <si>
    <t xml:space="preserve">CTL (50) = </t>
  </si>
  <si>
    <t xml:space="preserve">CTL (100) = </t>
  </si>
  <si>
    <t>Calculo del Tamaño de Lote:</t>
  </si>
  <si>
    <t xml:space="preserve">Q (2000) = </t>
  </si>
  <si>
    <t>ESTA DENTRO DEL RANOGO … PARA LOTES MENORES DE 50 BOBINAS</t>
  </si>
  <si>
    <t xml:space="preserve">Q (1940) = </t>
  </si>
  <si>
    <t>NO APLICA PARA EL RANGO SOLICITADO DE MAS DE 50 BOBINAS … TOMAMOS EL MENOR DEL RANGO 50 BOBINAS</t>
  </si>
  <si>
    <t xml:space="preserve">Q (1900) = </t>
  </si>
  <si>
    <t>NO APLICA PARA EL RANGO SOLICITADO DE MAS DE 50 BOBINAS … TOMAMOS EL MENOR DEL RANGO 100 BOBINAS</t>
  </si>
  <si>
    <t>(*) CONSIDERAMOS BOBINAS EN NUMEROS ENTEROS PARA EL 1ER CASO</t>
  </si>
  <si>
    <t>CASO FABRICAR</t>
  </si>
  <si>
    <t>Calcular el valor del COSTO UNITARIO</t>
  </si>
  <si>
    <t>COSTO DE INVERSIÓN UNITARIA</t>
  </si>
  <si>
    <t>COSTO UNITARIO DE MP</t>
  </si>
  <si>
    <t>COSTO UNITARIO DE MO</t>
  </si>
  <si>
    <t>CONSIDERARLO SIEMPRE, INVOLUCRAN LOS COSTOS DE REALIZAR PEDIDOS Y ALMACENAMIENTO</t>
  </si>
  <si>
    <t>COSTO ANUAL DE FABRICAR (1000 BOBINAS AÑO)</t>
  </si>
  <si>
    <t>MEJOR OPCIÓN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</si>
</sst>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S/&quot;\ * #,##0.00_-;\-&quot;S/&quot;\ * #,##0.00_-;_-&quot;S/&quot;\ * &quot;-&quot;??_-;_-@_-"/>
    <numFmt numFmtId="43" formatCode="_-* #,##0.00_-;\-* #,##0.00_-;_-* &quot;-&quot;??_-;_-@_-"/>
    <numFmt numFmtId="164" formatCode="_-&quot;S/&quot;* #,##0.00_-;\-&quot;S/&quot;* #,##0.00_-;_-&quot;S/&quot;* &quot;-&quot;??_-;_-@_-"/>
    <numFmt numFmtId="165" formatCode="_-[$$-409]* #,##0.00_ ;_-[$$-409]* \-#,##0.00\ ;_-[$$-409]* &quot;-&quot;??_ ;_-@_ "/>
    <numFmt numFmtId="166" formatCode="_-&quot;S/&quot;\ * #,##0.0_-;\-&quot;S/&quot;\ * #,##0.0_-;_-&quot;S/&quot;\ * &quot;-&quot;??_-;_-@_-"/>
    <numFmt numFmtId="167" formatCode="#,##0.00_ ;\-#,##0.00\ "/>
    <numFmt numFmtId="168" formatCode="_-&quot;S/&quot;* #,##0_-;\-&quot;S/&quot;* #,##0_-;_-&quot;S/&quot;* &quot;-&quot;??_-;_-@_-"/>
    <numFmt numFmtId="169" formatCode="0.0%"/>
    <numFmt numFmtId="170" formatCode="_-&quot;S/&quot;* #,##0.0_-;\-&quot;S/&quot;* #,##0.0_-;_-&quot;S/&quot;* &quot;-&quot;?_-;_-@_-"/>
    <numFmt numFmtId="171" formatCode="&quot;S/&quot;#,##0.00"/>
    <numFmt numFmtId="172" formatCode="&quot;S/&quot;\ #,##0.00"/>
    <numFmt numFmtId="173" formatCode="_-* #,##0_-;\-* #,##0_-;_-* &quot;-&quot;??_-;_-@_-"/>
    <numFmt numFmtId="174" formatCode="0.00\ &quot;MILLAR&quot;"/>
    <numFmt numFmtId="175" formatCode="_-[$$-540A]* #,##0.00_ ;_-[$$-540A]* \-#,##0.00\ ;_-[$$-540A]* &quot;-&quot;??_ ;_-@_ "/>
    <numFmt numFmtId="176" formatCode="&quot;S/&quot;#,##0.0"/>
  </numFmts>
  <fonts count="16" x14ac:knownFonts="1">
    <font>
      <sz val="11"/>
      <color theme="1"/>
      <name val="Calibri"/>
      <family val="2"/>
      <scheme val="minor"/>
    </font>
    <font>
      <sz val="11"/>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b/>
      <u/>
      <sz val="11"/>
      <color theme="1"/>
      <name val="Calibri"/>
      <family val="2"/>
      <scheme val="minor"/>
    </font>
    <font>
      <b/>
      <sz val="10"/>
      <color rgb="FFFF0000"/>
      <name val="Calibri"/>
      <family val="2"/>
      <scheme val="minor"/>
    </font>
    <font>
      <b/>
      <sz val="12"/>
      <color theme="1"/>
      <name val="Calibri"/>
      <family val="2"/>
      <scheme val="minor"/>
    </font>
    <font>
      <b/>
      <u/>
      <sz val="14"/>
      <color theme="1"/>
      <name val="Calibri"/>
      <family val="2"/>
      <scheme val="minor"/>
    </font>
    <font>
      <b/>
      <u/>
      <sz val="12"/>
      <color theme="1"/>
      <name val="Calibri"/>
      <family val="2"/>
      <scheme val="minor"/>
    </font>
    <font>
      <b/>
      <sz val="14"/>
      <color theme="1"/>
      <name val="Calibri"/>
      <family val="2"/>
      <scheme val="minor"/>
    </font>
    <font>
      <b/>
      <sz val="12"/>
      <color theme="0"/>
      <name val="Calibri"/>
      <family val="2"/>
      <scheme val="minor"/>
    </font>
    <font>
      <b/>
      <sz val="11"/>
      <color rgb="FFFF0000"/>
      <name val="Calibri"/>
      <family val="2"/>
      <scheme val="minor"/>
    </font>
    <font>
      <b/>
      <sz val="10"/>
      <color theme="1"/>
      <name val="Calibri"/>
      <family val="2"/>
      <scheme val="minor"/>
    </font>
    <font>
      <b/>
      <sz val="11"/>
      <color rgb="FFC0000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9">
    <xf numFmtId="0" fontId="0" fillId="0" borderId="0"/>
    <xf numFmtId="164" fontId="1" fillId="0" borderId="0" applyFont="0" applyFill="0" applyBorder="0" applyAlignment="0" applyProtection="0"/>
    <xf numFmtId="44"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vertical="center"/>
    </xf>
    <xf numFmtId="0" fontId="2" fillId="0" borderId="0" xfId="0" applyFont="1"/>
    <xf numFmtId="164" fontId="0" fillId="0" borderId="0" xfId="1" applyFont="1"/>
    <xf numFmtId="165" fontId="0" fillId="0" borderId="0" xfId="0" applyNumberFormat="1" applyAlignment="1">
      <alignment horizontal="center"/>
    </xf>
    <xf numFmtId="9" fontId="0" fillId="0" borderId="0" xfId="0" applyNumberFormat="1" applyAlignment="1">
      <alignment horizontal="center"/>
    </xf>
    <xf numFmtId="0" fontId="2" fillId="0" borderId="0" xfId="3"/>
    <xf numFmtId="0" fontId="2" fillId="0" borderId="0" xfId="3" applyAlignment="1">
      <alignment horizontal="right"/>
    </xf>
    <xf numFmtId="0" fontId="0" fillId="0" borderId="0" xfId="0" applyAlignment="1">
      <alignment horizontal="left" vertical="center" wrapText="1"/>
    </xf>
    <xf numFmtId="0" fontId="2" fillId="0" borderId="0" xfId="3" applyAlignment="1">
      <alignment horizontal="left" vertical="center" wrapText="1"/>
    </xf>
    <xf numFmtId="0" fontId="0" fillId="0" borderId="0" xfId="0" applyAlignment="1">
      <alignment horizontal="left" wrapText="1"/>
    </xf>
    <xf numFmtId="0" fontId="5" fillId="2" borderId="0" xfId="0" applyFont="1" applyFill="1"/>
    <xf numFmtId="0" fontId="0" fillId="2" borderId="0" xfId="0" applyFill="1"/>
    <xf numFmtId="0" fontId="3" fillId="0" borderId="0" xfId="0" applyFont="1"/>
    <xf numFmtId="0" fontId="6" fillId="0" borderId="0" xfId="0" applyFont="1"/>
    <xf numFmtId="0" fontId="0" fillId="3" borderId="0" xfId="0" applyFill="1" applyAlignment="1">
      <alignment horizontal="right"/>
    </xf>
    <xf numFmtId="0" fontId="0" fillId="3" borderId="0" xfId="0" applyFill="1" applyAlignment="1">
      <alignment horizontal="center"/>
    </xf>
    <xf numFmtId="0" fontId="7" fillId="3" borderId="0" xfId="0" applyFont="1" applyFill="1"/>
    <xf numFmtId="0" fontId="0" fillId="0" borderId="0" xfId="0" applyAlignment="1">
      <alignment horizontal="right"/>
    </xf>
    <xf numFmtId="3" fontId="0" fillId="0" borderId="0" xfId="0" applyNumberFormat="1" applyAlignment="1">
      <alignment horizontal="center"/>
    </xf>
    <xf numFmtId="44" fontId="0" fillId="0" borderId="0" xfId="0" applyNumberFormat="1"/>
    <xf numFmtId="2" fontId="0" fillId="0" borderId="0" xfId="0" applyNumberFormat="1" applyAlignment="1">
      <alignment horizontal="center"/>
    </xf>
    <xf numFmtId="0" fontId="7" fillId="0" borderId="0" xfId="0" applyFont="1"/>
    <xf numFmtId="0" fontId="0" fillId="0" borderId="0" xfId="0" applyAlignment="1">
      <alignment horizontal="center"/>
    </xf>
    <xf numFmtId="0" fontId="0" fillId="4" borderId="1" xfId="0" applyFill="1" applyBorder="1"/>
    <xf numFmtId="0" fontId="4" fillId="4" borderId="1" xfId="0" applyFont="1" applyFill="1" applyBorder="1" applyAlignment="1">
      <alignment horizontal="center" vertical="center" wrapText="1"/>
    </xf>
    <xf numFmtId="164" fontId="4" fillId="0" borderId="0" xfId="1" applyFont="1"/>
    <xf numFmtId="0" fontId="4" fillId="0" borderId="1" xfId="0" applyFont="1" applyBorder="1" applyAlignment="1">
      <alignment horizontal="center"/>
    </xf>
    <xf numFmtId="44" fontId="0" fillId="0" borderId="1" xfId="0" applyNumberFormat="1" applyBorder="1"/>
    <xf numFmtId="0" fontId="0" fillId="0" borderId="1" xfId="0" applyBorder="1" applyAlignment="1">
      <alignment horizontal="center"/>
    </xf>
    <xf numFmtId="166" fontId="0" fillId="0" borderId="1" xfId="7" applyNumberFormat="1" applyFont="1" applyBorder="1"/>
    <xf numFmtId="166" fontId="0" fillId="0" borderId="1" xfId="0" applyNumberFormat="1" applyBorder="1"/>
    <xf numFmtId="44" fontId="4" fillId="3" borderId="1" xfId="0" applyNumberFormat="1" applyFont="1" applyFill="1" applyBorder="1"/>
    <xf numFmtId="0" fontId="0" fillId="0" borderId="2" xfId="0" applyBorder="1"/>
    <xf numFmtId="164" fontId="4" fillId="0" borderId="2" xfId="1" applyFont="1" applyBorder="1"/>
    <xf numFmtId="0" fontId="4" fillId="0" borderId="0" xfId="0" applyFont="1"/>
    <xf numFmtId="164" fontId="4" fillId="3" borderId="0" xfId="0" applyNumberFormat="1" applyFont="1" applyFill="1"/>
    <xf numFmtId="164" fontId="4" fillId="0" borderId="0" xfId="1" applyFont="1" applyAlignment="1">
      <alignment horizontal="center"/>
    </xf>
    <xf numFmtId="164" fontId="0" fillId="0" borderId="0" xfId="0" applyNumberFormat="1"/>
    <xf numFmtId="164" fontId="4" fillId="0" borderId="2" xfId="0" applyNumberFormat="1" applyFont="1" applyBorder="1" applyAlignment="1">
      <alignment horizontal="center"/>
    </xf>
    <xf numFmtId="164" fontId="8" fillId="3" borderId="3" xfId="0" applyNumberFormat="1" applyFont="1" applyFill="1" applyBorder="1" applyAlignment="1">
      <alignment horizontal="center"/>
    </xf>
    <xf numFmtId="44" fontId="0" fillId="0" borderId="0" xfId="7" applyFont="1"/>
    <xf numFmtId="167" fontId="0" fillId="0" borderId="0" xfId="0" applyNumberFormat="1" applyAlignment="1">
      <alignment horizontal="center"/>
    </xf>
    <xf numFmtId="0" fontId="4" fillId="4" borderId="1" xfId="0" applyFont="1" applyFill="1" applyBorder="1" applyAlignment="1">
      <alignment horizontal="center"/>
    </xf>
    <xf numFmtId="0" fontId="4" fillId="0" borderId="1" xfId="0" applyFont="1" applyBorder="1"/>
    <xf numFmtId="166" fontId="4" fillId="0" borderId="1" xfId="0" applyNumberFormat="1" applyFont="1" applyBorder="1"/>
    <xf numFmtId="0" fontId="0" fillId="0" borderId="0" xfId="0" applyFont="1" applyAlignment="1">
      <alignment horizontal="left" vertical="center" wrapText="1"/>
    </xf>
    <xf numFmtId="0" fontId="2" fillId="0" borderId="0" xfId="3" applyAlignment="1">
      <alignment horizontal="center"/>
    </xf>
    <xf numFmtId="2" fontId="2" fillId="0" borderId="0" xfId="3" applyNumberFormat="1" applyAlignment="1">
      <alignment horizontal="center"/>
    </xf>
    <xf numFmtId="0" fontId="8" fillId="0" borderId="0" xfId="3" applyFont="1" applyAlignment="1">
      <alignment horizontal="right"/>
    </xf>
    <xf numFmtId="168" fontId="8" fillId="3" borderId="0" xfId="4" applyNumberFormat="1" applyFont="1" applyFill="1"/>
    <xf numFmtId="2" fontId="2" fillId="0" borderId="0" xfId="3" applyNumberFormat="1"/>
    <xf numFmtId="168" fontId="0" fillId="0" borderId="0" xfId="4" applyNumberFormat="1" applyFont="1"/>
    <xf numFmtId="169" fontId="0" fillId="0" borderId="0" xfId="5" applyNumberFormat="1" applyFont="1" applyAlignment="1">
      <alignment horizontal="center"/>
    </xf>
    <xf numFmtId="170" fontId="2" fillId="0" borderId="0" xfId="3" applyNumberFormat="1"/>
    <xf numFmtId="164" fontId="2" fillId="0" borderId="0" xfId="3" applyNumberFormat="1"/>
    <xf numFmtId="168" fontId="2" fillId="0" borderId="0" xfId="3" applyNumberFormat="1"/>
    <xf numFmtId="0" fontId="2" fillId="0" borderId="2" xfId="3" applyBorder="1"/>
    <xf numFmtId="170" fontId="2" fillId="0" borderId="2" xfId="3" applyNumberFormat="1" applyBorder="1"/>
    <xf numFmtId="164" fontId="0" fillId="0" borderId="0" xfId="4" applyFont="1"/>
    <xf numFmtId="0" fontId="9" fillId="0" borderId="0" xfId="0" applyFont="1" applyAlignment="1">
      <alignment horizontal="left" vertical="center" wrapText="1"/>
    </xf>
    <xf numFmtId="0" fontId="10" fillId="0" borderId="0" xfId="0" applyFont="1"/>
    <xf numFmtId="171" fontId="4" fillId="0" borderId="0" xfId="0" applyNumberFormat="1" applyFont="1"/>
    <xf numFmtId="0" fontId="0" fillId="5" borderId="0" xfId="0" applyFill="1" applyAlignment="1">
      <alignment horizontal="center"/>
    </xf>
    <xf numFmtId="171" fontId="4" fillId="0" borderId="2" xfId="0" applyNumberFormat="1" applyFont="1" applyBorder="1"/>
    <xf numFmtId="0" fontId="4" fillId="0" borderId="0" xfId="0" applyFont="1" applyAlignment="1">
      <alignment horizontal="right"/>
    </xf>
    <xf numFmtId="0" fontId="4" fillId="0" borderId="0" xfId="0" applyFont="1" applyAlignment="1">
      <alignment horizontal="center"/>
    </xf>
    <xf numFmtId="0" fontId="8" fillId="3" borderId="0" xfId="0" applyFont="1" applyFill="1"/>
    <xf numFmtId="0" fontId="2" fillId="3" borderId="0" xfId="0" applyFont="1" applyFill="1"/>
    <xf numFmtId="171" fontId="8" fillId="3" borderId="0" xfId="0" applyNumberFormat="1" applyFont="1" applyFill="1"/>
    <xf numFmtId="171" fontId="8" fillId="0" borderId="0" xfId="0" applyNumberFormat="1" applyFont="1"/>
    <xf numFmtId="0" fontId="11" fillId="6" borderId="0" xfId="0" applyFont="1" applyFill="1"/>
    <xf numFmtId="171" fontId="11" fillId="6" borderId="0" xfId="0" applyNumberFormat="1" applyFont="1" applyFill="1"/>
    <xf numFmtId="0" fontId="12" fillId="7" borderId="0" xfId="0" applyFont="1" applyFill="1"/>
    <xf numFmtId="2" fontId="4" fillId="0" borderId="0" xfId="0" applyNumberFormat="1" applyFont="1" applyAlignment="1">
      <alignment horizontal="center"/>
    </xf>
    <xf numFmtId="172" fontId="0" fillId="5" borderId="0" xfId="0" applyNumberFormat="1" applyFill="1" applyAlignment="1">
      <alignment horizontal="center"/>
    </xf>
    <xf numFmtId="0" fontId="13" fillId="0" borderId="0" xfId="0" applyFont="1" applyAlignment="1">
      <alignment horizontal="left"/>
    </xf>
    <xf numFmtId="172" fontId="0" fillId="0" borderId="0" xfId="0" applyNumberFormat="1"/>
    <xf numFmtId="171" fontId="0" fillId="0" borderId="0" xfId="0" applyNumberFormat="1"/>
    <xf numFmtId="172" fontId="4" fillId="0" borderId="0" xfId="0" applyNumberFormat="1" applyFont="1"/>
    <xf numFmtId="0" fontId="4" fillId="0" borderId="0" xfId="0" applyFont="1" applyAlignment="1">
      <alignment horizontal="center"/>
    </xf>
    <xf numFmtId="0" fontId="4" fillId="3" borderId="0" xfId="0" applyFont="1" applyFill="1"/>
    <xf numFmtId="172" fontId="4" fillId="3" borderId="0" xfId="0" applyNumberFormat="1" applyFont="1" applyFill="1" applyAlignment="1">
      <alignment horizontal="center"/>
    </xf>
    <xf numFmtId="0" fontId="0" fillId="3" borderId="0" xfId="0" applyFill="1"/>
    <xf numFmtId="0" fontId="13" fillId="0" borderId="0" xfId="0" applyFont="1"/>
    <xf numFmtId="0" fontId="4" fillId="3" borderId="0" xfId="0" applyFont="1" applyFill="1" applyAlignment="1">
      <alignment horizontal="center"/>
    </xf>
    <xf numFmtId="0" fontId="4" fillId="8" borderId="4"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8" borderId="6" xfId="0" applyFont="1" applyFill="1" applyBorder="1" applyAlignment="1">
      <alignment horizontal="left" vertical="center" wrapText="1"/>
    </xf>
    <xf numFmtId="0" fontId="14" fillId="8" borderId="1" xfId="0" applyFont="1" applyFill="1" applyBorder="1" applyAlignment="1">
      <alignment horizontal="center" vertical="center" wrapText="1"/>
    </xf>
    <xf numFmtId="0" fontId="0" fillId="0" borderId="4" xfId="0" applyBorder="1"/>
    <xf numFmtId="0" fontId="0" fillId="0" borderId="5" xfId="0" applyBorder="1"/>
    <xf numFmtId="9" fontId="0" fillId="0" borderId="1" xfId="8" applyFont="1" applyBorder="1" applyAlignment="1">
      <alignment horizontal="center"/>
    </xf>
    <xf numFmtId="44" fontId="0" fillId="0" borderId="6" xfId="7" applyFont="1" applyBorder="1" applyAlignment="1">
      <alignment horizontal="center"/>
    </xf>
    <xf numFmtId="173" fontId="0" fillId="0" borderId="0" xfId="6" applyNumberFormat="1" applyFont="1"/>
    <xf numFmtId="0" fontId="0" fillId="0" borderId="7" xfId="0" applyBorder="1"/>
    <xf numFmtId="9" fontId="1" fillId="0" borderId="8" xfId="8" applyFont="1" applyBorder="1" applyAlignment="1">
      <alignment horizontal="center"/>
    </xf>
    <xf numFmtId="44" fontId="0" fillId="0" borderId="9" xfId="0" applyNumberFormat="1" applyBorder="1"/>
    <xf numFmtId="174" fontId="4" fillId="3" borderId="0" xfId="0" applyNumberFormat="1" applyFont="1" applyFill="1" applyAlignment="1">
      <alignment horizontal="center"/>
    </xf>
    <xf numFmtId="173" fontId="0" fillId="0" borderId="2" xfId="6" applyNumberFormat="1" applyFont="1" applyBorder="1"/>
    <xf numFmtId="173" fontId="4" fillId="3" borderId="0" xfId="0" applyNumberFormat="1" applyFont="1" applyFill="1"/>
    <xf numFmtId="173" fontId="0" fillId="0" borderId="0" xfId="0" applyNumberFormat="1"/>
    <xf numFmtId="43" fontId="0" fillId="0" borderId="0" xfId="0" applyNumberFormat="1"/>
    <xf numFmtId="44" fontId="13" fillId="0" borderId="0" xfId="0" applyNumberFormat="1" applyFont="1"/>
    <xf numFmtId="2" fontId="0" fillId="0" borderId="0" xfId="0" applyNumberFormat="1"/>
    <xf numFmtId="0" fontId="14" fillId="0" borderId="0" xfId="0" applyFont="1" applyAlignment="1">
      <alignment horizontal="center"/>
    </xf>
    <xf numFmtId="2" fontId="4" fillId="3" borderId="0" xfId="0" applyNumberFormat="1" applyFont="1" applyFill="1"/>
    <xf numFmtId="175" fontId="0" fillId="0" borderId="1" xfId="0" applyNumberFormat="1" applyBorder="1"/>
    <xf numFmtId="165" fontId="0" fillId="0" borderId="1" xfId="7" applyNumberFormat="1" applyFont="1" applyBorder="1"/>
    <xf numFmtId="165" fontId="0" fillId="0" borderId="1" xfId="0" applyNumberFormat="1" applyBorder="1"/>
    <xf numFmtId="165" fontId="8" fillId="3" borderId="1" xfId="0" applyNumberFormat="1" applyFont="1" applyFill="1" applyBorder="1"/>
    <xf numFmtId="164" fontId="0" fillId="0" borderId="0" xfId="1" applyFont="1" applyBorder="1"/>
    <xf numFmtId="164" fontId="0" fillId="0" borderId="2" xfId="0" applyNumberFormat="1" applyBorder="1"/>
    <xf numFmtId="165" fontId="0" fillId="0" borderId="2" xfId="0" applyNumberFormat="1" applyBorder="1" applyAlignment="1">
      <alignment horizontal="center"/>
    </xf>
    <xf numFmtId="165" fontId="4" fillId="0" borderId="0" xfId="0" applyNumberFormat="1" applyFont="1" applyAlignment="1">
      <alignment horizontal="center"/>
    </xf>
    <xf numFmtId="165" fontId="0" fillId="0" borderId="2" xfId="0" applyNumberFormat="1" applyBorder="1"/>
    <xf numFmtId="165" fontId="8" fillId="3" borderId="0" xfId="0" applyNumberFormat="1" applyFont="1" applyFill="1"/>
    <xf numFmtId="0" fontId="0" fillId="0" borderId="0" xfId="0" applyAlignment="1">
      <alignment horizontal="center" vertical="center" wrapText="1"/>
    </xf>
    <xf numFmtId="0" fontId="8" fillId="4" borderId="1" xfId="0" applyFont="1" applyFill="1" applyBorder="1" applyAlignment="1">
      <alignment horizontal="center" vertical="center" wrapText="1"/>
    </xf>
    <xf numFmtId="0" fontId="4" fillId="0" borderId="1" xfId="0" applyFont="1" applyBorder="1" applyAlignment="1">
      <alignment horizontal="right"/>
    </xf>
    <xf numFmtId="176" fontId="8" fillId="0" borderId="1" xfId="0" applyNumberFormat="1" applyFont="1" applyBorder="1"/>
    <xf numFmtId="176" fontId="11" fillId="3" borderId="1" xfId="0" applyNumberFormat="1" applyFont="1" applyFill="1" applyBorder="1"/>
    <xf numFmtId="0" fontId="4" fillId="0" borderId="0" xfId="0" applyFont="1" applyAlignment="1">
      <alignment horizontal="left"/>
    </xf>
    <xf numFmtId="0" fontId="8" fillId="0" borderId="0" xfId="0" applyFont="1" applyAlignment="1">
      <alignment horizontal="right"/>
    </xf>
    <xf numFmtId="0" fontId="15" fillId="0" borderId="0" xfId="0" applyFont="1"/>
    <xf numFmtId="0" fontId="4" fillId="0" borderId="2" xfId="0" applyFont="1" applyBorder="1"/>
    <xf numFmtId="164" fontId="4" fillId="0" borderId="0" xfId="0" applyNumberFormat="1" applyFont="1"/>
    <xf numFmtId="176" fontId="11" fillId="3" borderId="1" xfId="0" applyNumberFormat="1" applyFont="1" applyFill="1" applyBorder="1" applyAlignment="1">
      <alignment horizontal="center"/>
    </xf>
  </cellXfs>
  <cellStyles count="9">
    <cellStyle name="Millares" xfId="6" builtinId="3"/>
    <cellStyle name="Moneda" xfId="7" builtinId="4"/>
    <cellStyle name="Moneda 2" xfId="2" xr:uid="{97E744EB-B53D-47FF-9A8A-6A674C8989D0}"/>
    <cellStyle name="Moneda 4" xfId="1" xr:uid="{17C34EA0-9B71-4A62-B9C8-7B4722573F83}"/>
    <cellStyle name="Moneda 5" xfId="4" xr:uid="{76D47094-7C77-4D7C-A4F0-3B4732217C07}"/>
    <cellStyle name="Normal" xfId="0" builtinId="0"/>
    <cellStyle name="Normal 2" xfId="3" xr:uid="{A941DF1C-A53C-4170-8C20-1D6C00FE56D8}"/>
    <cellStyle name="Porcentaje" xfId="8" builtinId="5"/>
    <cellStyle name="Porcentaje 2" xfId="5" xr:uid="{6D4CECB0-95F2-4404-A20A-A53493A05CA8}"/>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515937</xdr:colOff>
      <xdr:row>16</xdr:row>
      <xdr:rowOff>71438</xdr:rowOff>
    </xdr:from>
    <xdr:ext cx="3907223" cy="553228"/>
    <mc:AlternateContent xmlns:mc="http://schemas.openxmlformats.org/markup-compatibility/2006">
      <mc:Choice xmlns:a14="http://schemas.microsoft.com/office/drawing/2010/main" Requires="a14">
        <xdr:sp macro="" textlink="">
          <xdr:nvSpPr>
            <xdr:cNvPr id="2" name="CuadroTexto 1">
              <a:extLst>
                <a:ext uri="{FF2B5EF4-FFF2-40B4-BE49-F238E27FC236}">
                  <a16:creationId xmlns:a16="http://schemas.microsoft.com/office/drawing/2014/main" id="{9F2976BA-8980-42C9-AB7B-1ED01C83C599}"/>
                </a:ext>
              </a:extLst>
            </xdr:cNvPr>
            <xdr:cNvSpPr txBox="1"/>
          </xdr:nvSpPr>
          <xdr:spPr>
            <a:xfrm>
              <a:off x="2725737" y="3309938"/>
              <a:ext cx="3907223" cy="553228"/>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600" b="0" i="1">
                        <a:latin typeface="Cambria Math" panose="02040503050406030204" pitchFamily="18" charset="0"/>
                      </a:rPr>
                      <m:t>𝐶𝑇𝐿</m:t>
                    </m:r>
                    <m:r>
                      <a:rPr lang="es-ES" sz="1600" b="0" i="1">
                        <a:latin typeface="Cambria Math" panose="02040503050406030204" pitchFamily="18" charset="0"/>
                      </a:rPr>
                      <m:t>=</m:t>
                    </m:r>
                    <m:d>
                      <m:dPr>
                        <m:ctrlPr>
                          <a:rPr lang="es-ES" sz="1600" b="0" i="1">
                            <a:latin typeface="Cambria Math" panose="02040503050406030204" pitchFamily="18" charset="0"/>
                          </a:rPr>
                        </m:ctrlPr>
                      </m:dPr>
                      <m:e>
                        <m:f>
                          <m:fPr>
                            <m:ctrlPr>
                              <a:rPr lang="es-ES" sz="1600" b="0" i="1">
                                <a:latin typeface="Cambria Math" panose="02040503050406030204" pitchFamily="18" charset="0"/>
                              </a:rPr>
                            </m:ctrlPr>
                          </m:fPr>
                          <m:num>
                            <m:r>
                              <a:rPr lang="es-ES" sz="1600" b="0" i="1">
                                <a:latin typeface="Cambria Math" panose="02040503050406030204" pitchFamily="18" charset="0"/>
                              </a:rPr>
                              <m:t>𝐷</m:t>
                            </m:r>
                          </m:num>
                          <m:den>
                            <m:r>
                              <a:rPr lang="es-ES" sz="1600" b="0" i="1">
                                <a:latin typeface="Cambria Math" panose="02040503050406030204" pitchFamily="18" charset="0"/>
                              </a:rPr>
                              <m:t>𝑄</m:t>
                            </m:r>
                          </m:den>
                        </m:f>
                      </m:e>
                    </m:d>
                    <m:r>
                      <a:rPr lang="es-ES" sz="1600" b="0" i="1">
                        <a:latin typeface="Cambria Math" panose="02040503050406030204" pitchFamily="18" charset="0"/>
                      </a:rPr>
                      <m:t>∗</m:t>
                    </m:r>
                    <m:r>
                      <a:rPr lang="es-ES" sz="1600" b="0" i="1">
                        <a:latin typeface="Cambria Math" panose="02040503050406030204" pitchFamily="18" charset="0"/>
                      </a:rPr>
                      <m:t>𝑆</m:t>
                    </m:r>
                    <m:r>
                      <a:rPr lang="es-ES" sz="1600" b="0" i="1">
                        <a:latin typeface="Cambria Math" panose="02040503050406030204" pitchFamily="18" charset="0"/>
                      </a:rPr>
                      <m:t> + </m:t>
                    </m:r>
                    <m:d>
                      <m:dPr>
                        <m:ctrlPr>
                          <a:rPr lang="es-ES" sz="1600" b="0" i="1">
                            <a:latin typeface="Cambria Math" panose="02040503050406030204" pitchFamily="18" charset="0"/>
                          </a:rPr>
                        </m:ctrlPr>
                      </m:dPr>
                      <m:e>
                        <m:f>
                          <m:fPr>
                            <m:ctrlPr>
                              <a:rPr lang="es-ES" sz="1600" b="0" i="1">
                                <a:latin typeface="Cambria Math" panose="02040503050406030204" pitchFamily="18" charset="0"/>
                              </a:rPr>
                            </m:ctrlPr>
                          </m:fPr>
                          <m:num>
                            <m:r>
                              <a:rPr lang="es-ES" sz="1600" b="0" i="1">
                                <a:latin typeface="Cambria Math" panose="02040503050406030204" pitchFamily="18" charset="0"/>
                              </a:rPr>
                              <m:t>𝑄</m:t>
                            </m:r>
                          </m:num>
                          <m:den>
                            <m:r>
                              <a:rPr lang="es-ES" sz="1600" b="0" i="1">
                                <a:latin typeface="Cambria Math" panose="02040503050406030204" pitchFamily="18" charset="0"/>
                              </a:rPr>
                              <m:t>2</m:t>
                            </m:r>
                          </m:den>
                        </m:f>
                        <m:r>
                          <a:rPr lang="es-ES" sz="1600" b="0" i="1">
                            <a:latin typeface="Cambria Math" panose="02040503050406030204" pitchFamily="18" charset="0"/>
                          </a:rPr>
                          <m:t>+</m:t>
                        </m:r>
                        <m:r>
                          <a:rPr lang="es-ES" sz="1600" b="0" i="1">
                            <a:latin typeface="Cambria Math" panose="02040503050406030204" pitchFamily="18" charset="0"/>
                          </a:rPr>
                          <m:t>𝑆𝑆</m:t>
                        </m:r>
                      </m:e>
                    </m:d>
                    <m:r>
                      <a:rPr lang="es-ES" sz="1600" b="0" i="1">
                        <a:latin typeface="Cambria Math" panose="02040503050406030204" pitchFamily="18" charset="0"/>
                      </a:rPr>
                      <m:t>∗</m:t>
                    </m:r>
                    <m:r>
                      <a:rPr lang="es-ES" sz="1600" b="0" i="1">
                        <a:latin typeface="Cambria Math" panose="02040503050406030204" pitchFamily="18" charset="0"/>
                      </a:rPr>
                      <m:t>𝐶</m:t>
                    </m:r>
                    <m:r>
                      <a:rPr lang="es-ES" sz="1600" b="0" i="1">
                        <a:latin typeface="Cambria Math" panose="02040503050406030204" pitchFamily="18" charset="0"/>
                      </a:rPr>
                      <m:t>∗</m:t>
                    </m:r>
                    <m:r>
                      <a:rPr lang="es-ES" sz="1600" b="0" i="1">
                        <a:latin typeface="Cambria Math" panose="02040503050406030204" pitchFamily="18" charset="0"/>
                      </a:rPr>
                      <m:t>𝐼</m:t>
                    </m:r>
                    <m:r>
                      <a:rPr lang="es-ES" sz="1600" b="0" i="1">
                        <a:latin typeface="Cambria Math" panose="02040503050406030204" pitchFamily="18" charset="0"/>
                      </a:rPr>
                      <m:t> + </m:t>
                    </m:r>
                    <m:r>
                      <a:rPr lang="es-ES" sz="1600" b="0" i="1">
                        <a:latin typeface="Cambria Math" panose="02040503050406030204" pitchFamily="18" charset="0"/>
                      </a:rPr>
                      <m:t>𝐷</m:t>
                    </m:r>
                    <m:r>
                      <a:rPr lang="es-ES" sz="1600" b="0" i="1">
                        <a:latin typeface="Cambria Math" panose="02040503050406030204" pitchFamily="18" charset="0"/>
                      </a:rPr>
                      <m:t>∗</m:t>
                    </m:r>
                    <m:r>
                      <a:rPr lang="es-ES" sz="1600" b="0" i="1">
                        <a:latin typeface="Cambria Math" panose="02040503050406030204" pitchFamily="18" charset="0"/>
                      </a:rPr>
                      <m:t>𝐶</m:t>
                    </m:r>
                  </m:oMath>
                </m:oMathPara>
              </a14:m>
              <a:endParaRPr lang="es-PE" sz="1600"/>
            </a:p>
          </xdr:txBody>
        </xdr:sp>
      </mc:Choice>
      <mc:Fallback>
        <xdr:sp macro="" textlink="">
          <xdr:nvSpPr>
            <xdr:cNvPr id="2" name="CuadroTexto 1">
              <a:extLst>
                <a:ext uri="{FF2B5EF4-FFF2-40B4-BE49-F238E27FC236}">
                  <a16:creationId xmlns:a16="http://schemas.microsoft.com/office/drawing/2014/main" id="{9F2976BA-8980-42C9-AB7B-1ED01C83C599}"/>
                </a:ext>
              </a:extLst>
            </xdr:cNvPr>
            <xdr:cNvSpPr txBox="1"/>
          </xdr:nvSpPr>
          <xdr:spPr>
            <a:xfrm>
              <a:off x="2725737" y="3309938"/>
              <a:ext cx="3907223" cy="553228"/>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600" b="0" i="0">
                  <a:latin typeface="Cambria Math" panose="02040503050406030204" pitchFamily="18" charset="0"/>
                </a:rPr>
                <a:t>𝐶𝑇𝐿=(𝐷/𝑄)∗𝑆 + (𝑄/2+𝑆𝑆)∗𝐶∗𝐼 + 𝐷∗𝐶</a:t>
              </a:r>
              <a:endParaRPr lang="es-PE" sz="16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FD97-8CF7-4AD7-887B-BBF7217AC145}">
  <dimension ref="B1:N28"/>
  <sheetViews>
    <sheetView zoomScale="110" zoomScaleNormal="110" workbookViewId="0">
      <selection activeCell="B1" sqref="B1:N5"/>
    </sheetView>
  </sheetViews>
  <sheetFormatPr baseColWidth="10" defaultRowHeight="15" x14ac:dyDescent="0.25"/>
  <cols>
    <col min="1" max="1" width="3.140625" customWidth="1"/>
    <col min="3" max="3" width="10" customWidth="1"/>
    <col min="4" max="4" width="8.85546875" customWidth="1"/>
    <col min="5" max="5" width="10.85546875" customWidth="1"/>
    <col min="8" max="8" width="14.28515625" customWidth="1"/>
    <col min="9" max="9" width="15.140625" customWidth="1"/>
    <col min="10" max="10" width="9.85546875" customWidth="1"/>
    <col min="12" max="12" width="14.42578125" customWidth="1"/>
    <col min="13" max="13" width="9.85546875" customWidth="1"/>
    <col min="14" max="14" width="6" customWidth="1"/>
  </cols>
  <sheetData>
    <row r="1" spans="2:14" ht="13.5" customHeight="1" x14ac:dyDescent="0.25">
      <c r="B1" s="48" t="s">
        <v>8</v>
      </c>
      <c r="C1" s="48"/>
      <c r="D1" s="48"/>
      <c r="E1" s="48"/>
      <c r="F1" s="48"/>
      <c r="G1" s="48"/>
      <c r="H1" s="48"/>
      <c r="I1" s="48"/>
      <c r="J1" s="48"/>
      <c r="K1" s="48"/>
      <c r="L1" s="48"/>
      <c r="M1" s="48"/>
      <c r="N1" s="48"/>
    </row>
    <row r="2" spans="2:14" ht="13.5" customHeight="1" x14ac:dyDescent="0.25">
      <c r="B2" s="48"/>
      <c r="C2" s="48"/>
      <c r="D2" s="48"/>
      <c r="E2" s="48"/>
      <c r="F2" s="48"/>
      <c r="G2" s="48"/>
      <c r="H2" s="48"/>
      <c r="I2" s="48"/>
      <c r="J2" s="48"/>
      <c r="K2" s="48"/>
      <c r="L2" s="48"/>
      <c r="M2" s="48"/>
      <c r="N2" s="48"/>
    </row>
    <row r="3" spans="2:14" ht="13.5" customHeight="1" x14ac:dyDescent="0.25">
      <c r="B3" s="48"/>
      <c r="C3" s="48"/>
      <c r="D3" s="48"/>
      <c r="E3" s="48"/>
      <c r="F3" s="48"/>
      <c r="G3" s="48"/>
      <c r="H3" s="48"/>
      <c r="I3" s="48"/>
      <c r="J3" s="48"/>
      <c r="K3" s="48"/>
      <c r="L3" s="48"/>
      <c r="M3" s="48"/>
      <c r="N3" s="48"/>
    </row>
    <row r="4" spans="2:14" ht="13.5" customHeight="1" x14ac:dyDescent="0.25">
      <c r="B4" s="48"/>
      <c r="C4" s="48"/>
      <c r="D4" s="48"/>
      <c r="E4" s="48"/>
      <c r="F4" s="48"/>
      <c r="G4" s="48"/>
      <c r="H4" s="48"/>
      <c r="I4" s="48"/>
      <c r="J4" s="48"/>
      <c r="K4" s="48"/>
      <c r="L4" s="48"/>
      <c r="M4" s="48"/>
      <c r="N4" s="48"/>
    </row>
    <row r="5" spans="2:14" ht="13.5" customHeight="1" x14ac:dyDescent="0.25">
      <c r="B5" s="48"/>
      <c r="C5" s="48"/>
      <c r="D5" s="48"/>
      <c r="E5" s="48"/>
      <c r="F5" s="48"/>
      <c r="G5" s="48"/>
      <c r="H5" s="48"/>
      <c r="I5" s="48"/>
      <c r="J5" s="48"/>
      <c r="K5" s="48"/>
      <c r="L5" s="48"/>
      <c r="M5" s="48"/>
      <c r="N5" s="48"/>
    </row>
    <row r="6" spans="2:14" x14ac:dyDescent="0.25">
      <c r="B6" t="s">
        <v>9</v>
      </c>
      <c r="E6" s="5">
        <v>4</v>
      </c>
    </row>
    <row r="7" spans="2:14" x14ac:dyDescent="0.25">
      <c r="B7" t="s">
        <v>10</v>
      </c>
      <c r="E7" s="5">
        <v>5</v>
      </c>
    </row>
    <row r="8" spans="2:14" x14ac:dyDescent="0.25">
      <c r="B8" t="s">
        <v>11</v>
      </c>
      <c r="E8" s="5">
        <v>2</v>
      </c>
    </row>
    <row r="10" spans="2:14" x14ac:dyDescent="0.25">
      <c r="B10" t="s">
        <v>12</v>
      </c>
    </row>
    <row r="12" spans="2:14" ht="23.25" x14ac:dyDescent="0.35">
      <c r="B12" s="13" t="s">
        <v>32</v>
      </c>
      <c r="C12" s="14"/>
      <c r="D12" s="14"/>
      <c r="E12" s="14"/>
      <c r="F12" s="14"/>
      <c r="G12" s="14"/>
      <c r="H12" s="14"/>
      <c r="I12" s="14"/>
      <c r="J12" s="14"/>
      <c r="K12" s="14"/>
      <c r="L12" s="14"/>
      <c r="M12" s="14"/>
      <c r="N12" s="14"/>
    </row>
    <row r="13" spans="2:14" x14ac:dyDescent="0.25">
      <c r="B13" s="15"/>
      <c r="C13" s="16" t="s">
        <v>33</v>
      </c>
    </row>
    <row r="14" spans="2:14" x14ac:dyDescent="0.25">
      <c r="C14" t="s">
        <v>34</v>
      </c>
      <c r="F14" s="17" t="s">
        <v>35</v>
      </c>
      <c r="G14" s="18">
        <f>SQRT((2*J14*J15)/(J16*J17))</f>
        <v>400</v>
      </c>
      <c r="H14" s="19" t="s">
        <v>36</v>
      </c>
      <c r="I14" s="20" t="s">
        <v>37</v>
      </c>
      <c r="J14" s="21">
        <v>10000</v>
      </c>
      <c r="K14" t="s">
        <v>38</v>
      </c>
      <c r="L14" s="22"/>
    </row>
    <row r="15" spans="2:14" x14ac:dyDescent="0.25">
      <c r="B15" t="s">
        <v>39</v>
      </c>
      <c r="C15" t="s">
        <v>40</v>
      </c>
      <c r="F15" s="20" t="s">
        <v>35</v>
      </c>
      <c r="G15" s="23">
        <f>SQRT((2*J14*J15)/(4.75*J17))</f>
        <v>410.39134083406168</v>
      </c>
      <c r="H15" s="24" t="s">
        <v>41</v>
      </c>
      <c r="I15" s="20" t="s">
        <v>42</v>
      </c>
      <c r="J15" s="25">
        <v>10</v>
      </c>
      <c r="L15" s="22"/>
    </row>
    <row r="16" spans="2:14" x14ac:dyDescent="0.25">
      <c r="I16" s="17" t="s">
        <v>43</v>
      </c>
      <c r="J16" s="18">
        <v>5</v>
      </c>
      <c r="L16" s="22"/>
    </row>
    <row r="17" spans="2:13" x14ac:dyDescent="0.25">
      <c r="I17" s="20" t="s">
        <v>44</v>
      </c>
      <c r="J17" s="25">
        <v>0.25</v>
      </c>
      <c r="L17" s="22"/>
    </row>
    <row r="19" spans="2:13" ht="30" x14ac:dyDescent="0.25">
      <c r="C19" s="26"/>
      <c r="D19" s="27" t="s">
        <v>45</v>
      </c>
      <c r="E19" s="27" t="s">
        <v>46</v>
      </c>
      <c r="F19" s="27" t="s">
        <v>47</v>
      </c>
      <c r="G19" s="27" t="s">
        <v>48</v>
      </c>
      <c r="H19" s="27" t="s">
        <v>49</v>
      </c>
      <c r="I19" s="27" t="s">
        <v>50</v>
      </c>
      <c r="K19" t="s">
        <v>9</v>
      </c>
      <c r="M19" s="28">
        <v>4</v>
      </c>
    </row>
    <row r="20" spans="2:13" x14ac:dyDescent="0.25">
      <c r="C20" s="29" t="s">
        <v>51</v>
      </c>
      <c r="D20" s="30">
        <v>5</v>
      </c>
      <c r="E20" s="31">
        <v>400</v>
      </c>
      <c r="F20" s="32">
        <f>($J$14/E20)*$J$15</f>
        <v>250</v>
      </c>
      <c r="G20" s="33">
        <f>(E20/2)*J16*$J$17</f>
        <v>250</v>
      </c>
      <c r="H20" s="33">
        <f>D20*$J$14</f>
        <v>50000</v>
      </c>
      <c r="I20" s="34">
        <f>F20+G20+H20</f>
        <v>50500</v>
      </c>
      <c r="K20" t="s">
        <v>10</v>
      </c>
      <c r="M20" s="28">
        <v>5</v>
      </c>
    </row>
    <row r="21" spans="2:13" x14ac:dyDescent="0.25">
      <c r="C21" s="29" t="s">
        <v>52</v>
      </c>
      <c r="D21" s="30">
        <v>4.75</v>
      </c>
      <c r="E21" s="31">
        <v>500</v>
      </c>
      <c r="F21" s="32">
        <f>($J$14/E21)*$J$15</f>
        <v>200</v>
      </c>
      <c r="G21" s="33">
        <f>(E21/2)*4.75*$J$17</f>
        <v>296.875</v>
      </c>
      <c r="H21" s="33">
        <f>D21*$J$14</f>
        <v>47500</v>
      </c>
      <c r="I21" s="34">
        <f>F21+G21+H21</f>
        <v>47996.875</v>
      </c>
      <c r="K21" s="35" t="s">
        <v>11</v>
      </c>
      <c r="L21" s="35"/>
      <c r="M21" s="36">
        <v>2</v>
      </c>
    </row>
    <row r="22" spans="2:13" x14ac:dyDescent="0.25">
      <c r="K22" s="37" t="s">
        <v>53</v>
      </c>
      <c r="M22" s="38">
        <f>SUM(M19:M21)</f>
        <v>11</v>
      </c>
    </row>
    <row r="23" spans="2:13" x14ac:dyDescent="0.25">
      <c r="B23" t="s">
        <v>54</v>
      </c>
    </row>
    <row r="25" spans="2:13" x14ac:dyDescent="0.25">
      <c r="B25" s="17" t="s">
        <v>55</v>
      </c>
      <c r="C25" s="18">
        <v>90000</v>
      </c>
      <c r="I25" s="39"/>
      <c r="J25" s="39"/>
    </row>
    <row r="26" spans="2:13" x14ac:dyDescent="0.25">
      <c r="B26" s="20" t="s">
        <v>56</v>
      </c>
      <c r="C26" s="25">
        <v>20</v>
      </c>
      <c r="D26" t="s">
        <v>57</v>
      </c>
      <c r="F26" t="s">
        <v>58</v>
      </c>
      <c r="I26" s="39">
        <f>C25/C26</f>
        <v>4500</v>
      </c>
      <c r="J26" s="39"/>
      <c r="L26" s="40"/>
    </row>
    <row r="27" spans="2:13" x14ac:dyDescent="0.25">
      <c r="F27" s="35" t="s">
        <v>59</v>
      </c>
      <c r="G27" s="35"/>
      <c r="H27" s="35"/>
      <c r="I27" s="41">
        <f>M22*J14</f>
        <v>110000</v>
      </c>
      <c r="J27" s="41"/>
      <c r="L27" s="22"/>
    </row>
    <row r="28" spans="2:13" ht="15.75" x14ac:dyDescent="0.25">
      <c r="I28" s="42">
        <f>SUM(I25:J27)</f>
        <v>114500</v>
      </c>
      <c r="J28" s="42"/>
    </row>
  </sheetData>
  <mergeCells count="5">
    <mergeCell ref="B1:N5"/>
    <mergeCell ref="I25:J25"/>
    <mergeCell ref="I26:J26"/>
    <mergeCell ref="I27:J27"/>
    <mergeCell ref="I28:J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7942-55D2-4768-BB78-7189CE721347}">
  <dimension ref="B1:N19"/>
  <sheetViews>
    <sheetView zoomScale="110" zoomScaleNormal="110" workbookViewId="0">
      <selection activeCell="B1" sqref="B1:N8"/>
    </sheetView>
  </sheetViews>
  <sheetFormatPr baseColWidth="10" defaultRowHeight="15" x14ac:dyDescent="0.25"/>
  <cols>
    <col min="1" max="1" width="4.5703125" customWidth="1"/>
    <col min="3" max="3" width="12.42578125" customWidth="1"/>
    <col min="4" max="4" width="10.140625" customWidth="1"/>
    <col min="8" max="8" width="14.85546875" bestFit="1" customWidth="1"/>
    <col min="9" max="9" width="15.28515625" customWidth="1"/>
  </cols>
  <sheetData>
    <row r="1" spans="2:14" ht="15" customHeight="1" x14ac:dyDescent="0.25">
      <c r="B1" s="10" t="s">
        <v>31</v>
      </c>
      <c r="C1" s="10"/>
      <c r="D1" s="10"/>
      <c r="E1" s="10"/>
      <c r="F1" s="10"/>
      <c r="G1" s="10"/>
      <c r="H1" s="10"/>
      <c r="I1" s="10"/>
      <c r="J1" s="10"/>
      <c r="K1" s="10"/>
      <c r="L1" s="10"/>
      <c r="M1" s="10"/>
      <c r="N1" s="10"/>
    </row>
    <row r="2" spans="2:14" x14ac:dyDescent="0.25">
      <c r="B2" s="10"/>
      <c r="C2" s="10"/>
      <c r="D2" s="10"/>
      <c r="E2" s="10"/>
      <c r="F2" s="10"/>
      <c r="G2" s="10"/>
      <c r="H2" s="10"/>
      <c r="I2" s="10"/>
      <c r="J2" s="10"/>
      <c r="K2" s="10"/>
      <c r="L2" s="10"/>
      <c r="M2" s="10"/>
      <c r="N2" s="10"/>
    </row>
    <row r="3" spans="2:14" x14ac:dyDescent="0.25">
      <c r="B3" s="10"/>
      <c r="C3" s="10"/>
      <c r="D3" s="10"/>
      <c r="E3" s="10"/>
      <c r="F3" s="10"/>
      <c r="G3" s="10"/>
      <c r="H3" s="10"/>
      <c r="I3" s="10"/>
      <c r="J3" s="10"/>
      <c r="K3" s="10"/>
      <c r="L3" s="10"/>
      <c r="M3" s="10"/>
      <c r="N3" s="10"/>
    </row>
    <row r="4" spans="2:14" x14ac:dyDescent="0.25">
      <c r="B4" s="10"/>
      <c r="C4" s="10"/>
      <c r="D4" s="10"/>
      <c r="E4" s="10"/>
      <c r="F4" s="10"/>
      <c r="G4" s="10"/>
      <c r="H4" s="10"/>
      <c r="I4" s="10"/>
      <c r="J4" s="10"/>
      <c r="K4" s="10"/>
      <c r="L4" s="10"/>
      <c r="M4" s="10"/>
      <c r="N4" s="10"/>
    </row>
    <row r="5" spans="2:14" x14ac:dyDescent="0.25">
      <c r="B5" s="10"/>
      <c r="C5" s="10"/>
      <c r="D5" s="10"/>
      <c r="E5" s="10"/>
      <c r="F5" s="10"/>
      <c r="G5" s="10"/>
      <c r="H5" s="10"/>
      <c r="I5" s="10"/>
      <c r="J5" s="10"/>
      <c r="K5" s="10"/>
      <c r="L5" s="10"/>
      <c r="M5" s="10"/>
      <c r="N5" s="10"/>
    </row>
    <row r="6" spans="2:14" x14ac:dyDescent="0.25">
      <c r="B6" s="10"/>
      <c r="C6" s="10"/>
      <c r="D6" s="10"/>
      <c r="E6" s="10"/>
      <c r="F6" s="10"/>
      <c r="G6" s="10"/>
      <c r="H6" s="10"/>
      <c r="I6" s="10"/>
      <c r="J6" s="10"/>
      <c r="K6" s="10"/>
      <c r="L6" s="10"/>
      <c r="M6" s="10"/>
      <c r="N6" s="10"/>
    </row>
    <row r="7" spans="2:14" x14ac:dyDescent="0.25">
      <c r="B7" s="10"/>
      <c r="C7" s="10"/>
      <c r="D7" s="10"/>
      <c r="E7" s="10"/>
      <c r="F7" s="10"/>
      <c r="G7" s="10"/>
      <c r="H7" s="10"/>
      <c r="I7" s="10"/>
      <c r="J7" s="10"/>
      <c r="K7" s="10"/>
      <c r="L7" s="10"/>
      <c r="M7" s="10"/>
      <c r="N7" s="10"/>
    </row>
    <row r="8" spans="2:14" x14ac:dyDescent="0.25">
      <c r="B8" s="10"/>
      <c r="C8" s="10"/>
      <c r="D8" s="10"/>
      <c r="E8" s="10"/>
      <c r="F8" s="10"/>
      <c r="G8" s="10"/>
      <c r="H8" s="10"/>
      <c r="I8" s="10"/>
      <c r="J8" s="10"/>
      <c r="K8" s="10"/>
      <c r="L8" s="10"/>
      <c r="M8" s="10"/>
      <c r="N8" s="10"/>
    </row>
    <row r="9" spans="2:14" x14ac:dyDescent="0.25">
      <c r="B9" t="s">
        <v>1</v>
      </c>
    </row>
    <row r="10" spans="2:14" x14ac:dyDescent="0.25">
      <c r="B10" s="16" t="s">
        <v>60</v>
      </c>
      <c r="K10" t="s">
        <v>61</v>
      </c>
      <c r="L10">
        <v>300</v>
      </c>
      <c r="M10" t="s">
        <v>62</v>
      </c>
    </row>
    <row r="11" spans="2:14" x14ac:dyDescent="0.25">
      <c r="K11" t="s">
        <v>63</v>
      </c>
      <c r="L11">
        <v>360</v>
      </c>
      <c r="M11" t="s">
        <v>64</v>
      </c>
    </row>
    <row r="12" spans="2:14" x14ac:dyDescent="0.25">
      <c r="B12" t="s">
        <v>65</v>
      </c>
      <c r="D12" s="43">
        <v>40</v>
      </c>
      <c r="E12" t="s">
        <v>66</v>
      </c>
      <c r="H12" s="25" t="s">
        <v>67</v>
      </c>
      <c r="I12" s="44">
        <f>SQRT((2*$M$13*$M$14)/(D12*$M$15))</f>
        <v>948.68329805051383</v>
      </c>
      <c r="J12" s="24" t="s">
        <v>68</v>
      </c>
    </row>
    <row r="13" spans="2:14" x14ac:dyDescent="0.25">
      <c r="D13" s="43">
        <v>38</v>
      </c>
      <c r="E13" t="s">
        <v>69</v>
      </c>
      <c r="H13" s="25" t="s">
        <v>70</v>
      </c>
      <c r="I13" s="44">
        <f t="shared" ref="I13:I14" si="0">SQRT((2*$M$13*$M$14)/(D13*$M$15))</f>
        <v>973.32852678457527</v>
      </c>
      <c r="J13" s="24" t="s">
        <v>41</v>
      </c>
      <c r="L13" s="20" t="s">
        <v>37</v>
      </c>
      <c r="M13" s="25">
        <f>L10*L11</f>
        <v>108000</v>
      </c>
    </row>
    <row r="14" spans="2:14" x14ac:dyDescent="0.25">
      <c r="B14" t="s">
        <v>71</v>
      </c>
      <c r="D14" s="43">
        <v>39</v>
      </c>
      <c r="E14" t="s">
        <v>72</v>
      </c>
      <c r="H14" s="25" t="s">
        <v>73</v>
      </c>
      <c r="I14" s="44">
        <f t="shared" si="0"/>
        <v>960.7689228305228</v>
      </c>
      <c r="J14" s="24" t="s">
        <v>68</v>
      </c>
      <c r="L14" s="20" t="s">
        <v>42</v>
      </c>
      <c r="M14" s="25">
        <v>50</v>
      </c>
    </row>
    <row r="15" spans="2:14" x14ac:dyDescent="0.25">
      <c r="L15" s="20" t="s">
        <v>44</v>
      </c>
      <c r="M15" s="25">
        <v>0.3</v>
      </c>
    </row>
    <row r="16" spans="2:14" x14ac:dyDescent="0.25">
      <c r="C16" s="26"/>
      <c r="D16" s="45" t="s">
        <v>45</v>
      </c>
      <c r="E16" s="45" t="s">
        <v>74</v>
      </c>
      <c r="F16" s="45" t="s">
        <v>75</v>
      </c>
      <c r="G16" s="45" t="s">
        <v>76</v>
      </c>
      <c r="H16" s="45" t="s">
        <v>77</v>
      </c>
      <c r="I16" s="45" t="s">
        <v>50</v>
      </c>
    </row>
    <row r="17" spans="3:10" x14ac:dyDescent="0.25">
      <c r="C17" s="46" t="s">
        <v>78</v>
      </c>
      <c r="D17" s="33">
        <v>40</v>
      </c>
      <c r="E17" s="31">
        <v>955.25</v>
      </c>
      <c r="F17" s="32">
        <f>($M$13/E17)*$M$14</f>
        <v>5652.9704265898981</v>
      </c>
      <c r="G17" s="33">
        <f>(E17/2)*D17*$M$15</f>
        <v>5731.5</v>
      </c>
      <c r="H17" s="33">
        <f>D17*$M$13</f>
        <v>4320000</v>
      </c>
      <c r="I17" s="47">
        <f>F17+G17+H17</f>
        <v>4331384.4704265902</v>
      </c>
    </row>
    <row r="18" spans="3:10" x14ac:dyDescent="0.25">
      <c r="C18" s="46" t="s">
        <v>78</v>
      </c>
      <c r="D18" s="33">
        <v>38</v>
      </c>
      <c r="E18" s="31">
        <v>1000</v>
      </c>
      <c r="F18" s="32">
        <f>($M$13/E18)*$M$14</f>
        <v>5400</v>
      </c>
      <c r="G18" s="33">
        <f>(E18/2)*D18*$M$15</f>
        <v>5700</v>
      </c>
      <c r="H18" s="33">
        <f>D18*$M$13</f>
        <v>4104000</v>
      </c>
      <c r="I18" s="47">
        <f>F18+G18+H18</f>
        <v>4115100</v>
      </c>
      <c r="J18" s="24" t="s">
        <v>79</v>
      </c>
    </row>
    <row r="19" spans="3:10" x14ac:dyDescent="0.25">
      <c r="C19" s="46" t="s">
        <v>80</v>
      </c>
      <c r="D19" s="33">
        <v>39</v>
      </c>
      <c r="E19" s="31">
        <v>960.77</v>
      </c>
      <c r="F19" s="32">
        <f>($M$13/E19)*$M$14</f>
        <v>5620.4918971241814</v>
      </c>
      <c r="G19" s="33">
        <f>(E19/2)*D19*$M$15</f>
        <v>5620.5045</v>
      </c>
      <c r="H19" s="33">
        <f>D19*$M$13</f>
        <v>4212000</v>
      </c>
      <c r="I19" s="47">
        <f>F19+G19+H19</f>
        <v>4223240.9963971246</v>
      </c>
    </row>
  </sheetData>
  <mergeCells count="1">
    <mergeCell ref="B1:N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3EFB3-FB12-461B-8217-9C155FBDD10F}">
  <dimension ref="B1:N35"/>
  <sheetViews>
    <sheetView zoomScaleNormal="100" workbookViewId="0">
      <selection activeCell="E18" sqref="E18"/>
    </sheetView>
  </sheetViews>
  <sheetFormatPr baseColWidth="10" defaultRowHeight="15.75" x14ac:dyDescent="0.25"/>
  <cols>
    <col min="1" max="1" width="4.42578125" style="8" customWidth="1"/>
    <col min="2" max="2" width="11.42578125" style="8"/>
    <col min="3" max="3" width="14.5703125" style="8" bestFit="1" customWidth="1"/>
    <col min="4" max="11" width="11.42578125" style="8"/>
    <col min="12" max="12" width="16.28515625" style="8" bestFit="1" customWidth="1"/>
    <col min="13" max="16384" width="11.42578125" style="8"/>
  </cols>
  <sheetData>
    <row r="1" spans="2:14" ht="15.75" customHeight="1" x14ac:dyDescent="0.25">
      <c r="B1" s="11" t="s">
        <v>21</v>
      </c>
      <c r="C1" s="11"/>
      <c r="D1" s="11"/>
      <c r="E1" s="11"/>
      <c r="F1" s="11"/>
      <c r="G1" s="11"/>
      <c r="H1" s="11"/>
      <c r="I1" s="11"/>
      <c r="J1" s="11"/>
      <c r="K1" s="11"/>
      <c r="L1" s="11"/>
      <c r="M1" s="11"/>
      <c r="N1" s="11"/>
    </row>
    <row r="2" spans="2:14" x14ac:dyDescent="0.25">
      <c r="B2" s="11"/>
      <c r="C2" s="11"/>
      <c r="D2" s="11"/>
      <c r="E2" s="11"/>
      <c r="F2" s="11"/>
      <c r="G2" s="11"/>
      <c r="H2" s="11"/>
      <c r="I2" s="11"/>
      <c r="J2" s="11"/>
      <c r="K2" s="11"/>
      <c r="L2" s="11"/>
      <c r="M2" s="11"/>
      <c r="N2" s="11"/>
    </row>
    <row r="3" spans="2:14" x14ac:dyDescent="0.25">
      <c r="B3" s="11"/>
      <c r="C3" s="11"/>
      <c r="D3" s="11"/>
      <c r="E3" s="11"/>
      <c r="F3" s="11"/>
      <c r="G3" s="11"/>
      <c r="H3" s="11"/>
      <c r="I3" s="11"/>
      <c r="J3" s="11"/>
      <c r="K3" s="11"/>
      <c r="L3" s="11"/>
      <c r="M3" s="11"/>
      <c r="N3" s="11"/>
    </row>
    <row r="4" spans="2:14" x14ac:dyDescent="0.25">
      <c r="B4" s="11"/>
      <c r="C4" s="11"/>
      <c r="D4" s="11"/>
      <c r="E4" s="11"/>
      <c r="F4" s="11"/>
      <c r="G4" s="11"/>
      <c r="H4" s="11"/>
      <c r="I4" s="11"/>
      <c r="J4" s="11"/>
      <c r="K4" s="11"/>
      <c r="L4" s="11"/>
      <c r="M4" s="11"/>
      <c r="N4" s="11"/>
    </row>
    <row r="5" spans="2:14" x14ac:dyDescent="0.25">
      <c r="B5" s="11"/>
      <c r="C5" s="11"/>
      <c r="D5" s="11"/>
      <c r="E5" s="11"/>
      <c r="F5" s="11"/>
      <c r="G5" s="11"/>
      <c r="H5" s="11"/>
      <c r="I5" s="11"/>
      <c r="J5" s="11"/>
      <c r="K5" s="11"/>
      <c r="L5" s="11"/>
      <c r="M5" s="11"/>
      <c r="N5" s="11"/>
    </row>
    <row r="7" spans="2:14" x14ac:dyDescent="0.25">
      <c r="B7" s="8" t="s">
        <v>22</v>
      </c>
      <c r="E7" s="9" t="s">
        <v>23</v>
      </c>
    </row>
    <row r="8" spans="2:14" x14ac:dyDescent="0.25">
      <c r="B8" s="8" t="s">
        <v>24</v>
      </c>
      <c r="E8" s="8">
        <v>24</v>
      </c>
    </row>
    <row r="9" spans="2:14" x14ac:dyDescent="0.25">
      <c r="B9" s="8" t="s">
        <v>25</v>
      </c>
      <c r="E9" s="8">
        <v>32</v>
      </c>
    </row>
    <row r="10" spans="2:14" x14ac:dyDescent="0.25">
      <c r="B10" s="8" t="s">
        <v>6</v>
      </c>
      <c r="E10" s="8">
        <v>10</v>
      </c>
    </row>
    <row r="11" spans="2:14" x14ac:dyDescent="0.25">
      <c r="B11" s="8" t="s">
        <v>7</v>
      </c>
      <c r="E11" s="8">
        <v>8</v>
      </c>
    </row>
    <row r="13" spans="2:14" x14ac:dyDescent="0.25">
      <c r="B13" s="11" t="s">
        <v>26</v>
      </c>
      <c r="C13" s="11"/>
      <c r="D13" s="11"/>
      <c r="E13" s="11"/>
      <c r="F13" s="11"/>
      <c r="G13" s="11"/>
      <c r="H13" s="11"/>
      <c r="I13" s="11"/>
      <c r="J13" s="11"/>
      <c r="K13" s="11"/>
      <c r="L13" s="11"/>
      <c r="M13" s="11"/>
      <c r="N13" s="11"/>
    </row>
    <row r="14" spans="2:14" x14ac:dyDescent="0.25">
      <c r="B14" s="11"/>
      <c r="C14" s="11"/>
      <c r="D14" s="11"/>
      <c r="E14" s="11"/>
      <c r="F14" s="11"/>
      <c r="G14" s="11"/>
      <c r="H14" s="11"/>
      <c r="I14" s="11"/>
      <c r="J14" s="11"/>
      <c r="K14" s="11"/>
      <c r="L14" s="11"/>
      <c r="M14" s="11"/>
      <c r="N14" s="11"/>
    </row>
    <row r="16" spans="2:14" x14ac:dyDescent="0.25">
      <c r="B16" s="8" t="s">
        <v>27</v>
      </c>
    </row>
    <row r="17" spans="2:12" x14ac:dyDescent="0.25">
      <c r="B17" s="8" t="s">
        <v>28</v>
      </c>
    </row>
    <row r="18" spans="2:12" x14ac:dyDescent="0.25">
      <c r="B18" s="8" t="s">
        <v>29</v>
      </c>
    </row>
    <row r="20" spans="2:12" x14ac:dyDescent="0.25">
      <c r="B20" s="9" t="s">
        <v>37</v>
      </c>
      <c r="C20" s="49">
        <v>30000</v>
      </c>
      <c r="E20" s="9" t="s">
        <v>81</v>
      </c>
      <c r="F20" s="50">
        <f>SQRT((2*C20*C21)/(C22*C23))</f>
        <v>557.77335102271707</v>
      </c>
      <c r="G20" s="8" t="s">
        <v>82</v>
      </c>
    </row>
    <row r="21" spans="2:12" x14ac:dyDescent="0.25">
      <c r="B21" s="9" t="s">
        <v>42</v>
      </c>
      <c r="C21" s="49">
        <v>140</v>
      </c>
    </row>
    <row r="22" spans="2:12" x14ac:dyDescent="0.25">
      <c r="B22" s="9" t="s">
        <v>43</v>
      </c>
      <c r="C22" s="49">
        <v>90</v>
      </c>
      <c r="E22" s="51" t="s">
        <v>83</v>
      </c>
      <c r="F22" s="8">
        <f>(C20/500)*C21</f>
        <v>8400</v>
      </c>
      <c r="H22" s="8">
        <f>(500/2)*C22*C23</f>
        <v>6750</v>
      </c>
      <c r="J22" s="8">
        <f>C22*C20</f>
        <v>2700000</v>
      </c>
      <c r="L22" s="52">
        <f>F22+H22+J22</f>
        <v>2715150</v>
      </c>
    </row>
    <row r="23" spans="2:12" x14ac:dyDescent="0.25">
      <c r="B23" s="9" t="s">
        <v>44</v>
      </c>
      <c r="C23" s="49">
        <v>0.3</v>
      </c>
    </row>
    <row r="24" spans="2:12" x14ac:dyDescent="0.25">
      <c r="B24" s="9" t="s">
        <v>84</v>
      </c>
      <c r="C24" s="49">
        <f>0.9*C22</f>
        <v>81</v>
      </c>
      <c r="E24" s="9" t="s">
        <v>85</v>
      </c>
      <c r="F24" s="50">
        <f>SQRT((2*C20*C21)/(C24*C23))</f>
        <v>587.94473579213127</v>
      </c>
      <c r="G24" s="8" t="s">
        <v>86</v>
      </c>
    </row>
    <row r="26" spans="2:12" x14ac:dyDescent="0.25">
      <c r="E26" s="51" t="s">
        <v>87</v>
      </c>
      <c r="F26" s="53">
        <f>(C20/588)*C21</f>
        <v>7142.8571428571431</v>
      </c>
      <c r="H26" s="8">
        <f>(588/2)*C24*C23</f>
        <v>7144.2</v>
      </c>
      <c r="J26" s="8">
        <f>C24*C20</f>
        <v>2430000</v>
      </c>
      <c r="L26" s="52">
        <f>F26+H26+J26</f>
        <v>2444287.057142857</v>
      </c>
    </row>
    <row r="28" spans="2:12" x14ac:dyDescent="0.25">
      <c r="B28" s="9" t="s">
        <v>88</v>
      </c>
      <c r="C28" s="54">
        <v>400000</v>
      </c>
    </row>
    <row r="29" spans="2:12" x14ac:dyDescent="0.25">
      <c r="B29" s="9" t="s">
        <v>89</v>
      </c>
      <c r="C29" s="55">
        <v>7.0000000000000007E-2</v>
      </c>
    </row>
    <row r="31" spans="2:12" x14ac:dyDescent="0.25">
      <c r="B31" s="9" t="s">
        <v>90</v>
      </c>
      <c r="C31" s="56">
        <f>C28*C29</f>
        <v>28000.000000000004</v>
      </c>
      <c r="J31" s="8" t="s">
        <v>59</v>
      </c>
      <c r="L31" s="57">
        <f>C35*C20</f>
        <v>2220000</v>
      </c>
    </row>
    <row r="32" spans="2:12" x14ac:dyDescent="0.25">
      <c r="J32" s="8" t="s">
        <v>91</v>
      </c>
      <c r="L32" s="58">
        <f>C33</f>
        <v>20000</v>
      </c>
    </row>
    <row r="33" spans="2:12" x14ac:dyDescent="0.25">
      <c r="B33" s="9" t="s">
        <v>92</v>
      </c>
      <c r="C33" s="58">
        <f>C28/20</f>
        <v>20000</v>
      </c>
      <c r="J33" s="59" t="s">
        <v>93</v>
      </c>
      <c r="K33" s="59"/>
      <c r="L33" s="60">
        <f>C31</f>
        <v>28000.000000000004</v>
      </c>
    </row>
    <row r="34" spans="2:12" x14ac:dyDescent="0.25">
      <c r="L34" s="52">
        <f>SUM(L31:L33)</f>
        <v>2268000</v>
      </c>
    </row>
    <row r="35" spans="2:12" x14ac:dyDescent="0.25">
      <c r="B35" s="9" t="s">
        <v>94</v>
      </c>
      <c r="C35" s="61">
        <f>SUM(E8:E11)</f>
        <v>74</v>
      </c>
    </row>
  </sheetData>
  <mergeCells count="2">
    <mergeCell ref="B1:N5"/>
    <mergeCell ref="B13:N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2F4CA-45E5-490D-87D2-04F853D529D7}">
  <dimension ref="B1:O54"/>
  <sheetViews>
    <sheetView zoomScale="110" zoomScaleNormal="110" workbookViewId="0">
      <selection activeCell="H43" sqref="H43:I43"/>
    </sheetView>
  </sheetViews>
  <sheetFormatPr baseColWidth="10" defaultRowHeight="15" x14ac:dyDescent="0.25"/>
  <cols>
    <col min="1" max="1" width="4.28515625" customWidth="1"/>
    <col min="5" max="5" width="12.7109375" customWidth="1"/>
    <col min="6" max="6" width="16.7109375" bestFit="1" customWidth="1"/>
    <col min="7" max="7" width="12.140625" customWidth="1"/>
    <col min="10" max="11" width="12.42578125" bestFit="1" customWidth="1"/>
  </cols>
  <sheetData>
    <row r="1" spans="2:14" ht="12" customHeight="1" x14ac:dyDescent="0.25">
      <c r="B1" s="10" t="s">
        <v>95</v>
      </c>
      <c r="C1" s="10"/>
      <c r="D1" s="10"/>
      <c r="E1" s="10"/>
      <c r="F1" s="10"/>
      <c r="G1" s="10"/>
      <c r="H1" s="10"/>
      <c r="I1" s="10"/>
      <c r="J1" s="10"/>
      <c r="K1" s="10"/>
      <c r="L1" s="10"/>
      <c r="M1" s="10"/>
      <c r="N1" s="10"/>
    </row>
    <row r="2" spans="2:14" ht="12" customHeight="1" x14ac:dyDescent="0.25">
      <c r="B2" s="10"/>
      <c r="C2" s="10"/>
      <c r="D2" s="10"/>
      <c r="E2" s="10"/>
      <c r="F2" s="10"/>
      <c r="G2" s="10"/>
      <c r="H2" s="10"/>
      <c r="I2" s="10"/>
      <c r="J2" s="10"/>
      <c r="K2" s="10"/>
      <c r="L2" s="10"/>
      <c r="M2" s="10"/>
      <c r="N2" s="10"/>
    </row>
    <row r="3" spans="2:14" ht="12" customHeight="1" x14ac:dyDescent="0.25">
      <c r="B3" s="10"/>
      <c r="C3" s="10"/>
      <c r="D3" s="10"/>
      <c r="E3" s="10"/>
      <c r="F3" s="10"/>
      <c r="G3" s="10"/>
      <c r="H3" s="10"/>
      <c r="I3" s="10"/>
      <c r="J3" s="10"/>
      <c r="K3" s="10"/>
      <c r="L3" s="10"/>
      <c r="M3" s="10"/>
      <c r="N3" s="10"/>
    </row>
    <row r="4" spans="2:14" ht="12" customHeight="1" x14ac:dyDescent="0.25">
      <c r="B4" s="10"/>
      <c r="C4" s="10"/>
      <c r="D4" s="10"/>
      <c r="E4" s="10"/>
      <c r="F4" s="10"/>
      <c r="G4" s="10"/>
      <c r="H4" s="10"/>
      <c r="I4" s="10"/>
      <c r="J4" s="10"/>
      <c r="K4" s="10"/>
      <c r="L4" s="10"/>
      <c r="M4" s="10"/>
      <c r="N4" s="10"/>
    </row>
    <row r="5" spans="2:14" ht="12" customHeight="1" x14ac:dyDescent="0.25">
      <c r="B5" s="10"/>
      <c r="C5" s="10"/>
      <c r="D5" s="10"/>
      <c r="E5" s="10"/>
      <c r="F5" s="10"/>
      <c r="G5" s="10"/>
      <c r="H5" s="10"/>
      <c r="I5" s="10"/>
      <c r="J5" s="10"/>
      <c r="K5" s="10"/>
      <c r="L5" s="10"/>
      <c r="M5" s="10"/>
      <c r="N5" s="10"/>
    </row>
    <row r="6" spans="2:14" ht="12" customHeight="1" x14ac:dyDescent="0.25">
      <c r="B6" s="10"/>
      <c r="C6" s="10"/>
      <c r="D6" s="10"/>
      <c r="E6" s="10"/>
      <c r="F6" s="10"/>
      <c r="G6" s="10"/>
      <c r="H6" s="10"/>
      <c r="I6" s="10"/>
      <c r="J6" s="10"/>
      <c r="K6" s="10"/>
      <c r="L6" s="10"/>
      <c r="M6" s="10"/>
      <c r="N6" s="10"/>
    </row>
    <row r="7" spans="2:14" ht="12" customHeight="1" x14ac:dyDescent="0.25">
      <c r="B7" s="10"/>
      <c r="C7" s="10"/>
      <c r="D7" s="10"/>
      <c r="E7" s="10"/>
      <c r="F7" s="10"/>
      <c r="G7" s="10"/>
      <c r="H7" s="10"/>
      <c r="I7" s="10"/>
      <c r="J7" s="10"/>
      <c r="K7" s="10"/>
      <c r="L7" s="10"/>
      <c r="M7" s="10"/>
      <c r="N7" s="10"/>
    </row>
    <row r="8" spans="2:14" ht="12" customHeight="1" x14ac:dyDescent="0.25">
      <c r="B8" s="10"/>
      <c r="C8" s="10"/>
      <c r="D8" s="10"/>
      <c r="E8" s="10"/>
      <c r="F8" s="10"/>
      <c r="G8" s="10"/>
      <c r="H8" s="10"/>
      <c r="I8" s="10"/>
      <c r="J8" s="10"/>
      <c r="K8" s="10"/>
      <c r="L8" s="10"/>
      <c r="M8" s="10"/>
      <c r="N8" s="10"/>
    </row>
    <row r="9" spans="2:14" ht="12" customHeight="1" x14ac:dyDescent="0.25">
      <c r="B9" s="10"/>
      <c r="C9" s="10"/>
      <c r="D9" s="10"/>
      <c r="E9" s="10"/>
      <c r="F9" s="10"/>
      <c r="G9" s="10"/>
      <c r="H9" s="10"/>
      <c r="I9" s="10"/>
      <c r="J9" s="10"/>
      <c r="K9" s="10"/>
      <c r="L9" s="10"/>
      <c r="M9" s="10"/>
      <c r="N9" s="10"/>
    </row>
    <row r="10" spans="2:14" ht="12" customHeight="1" x14ac:dyDescent="0.25">
      <c r="B10" s="10"/>
      <c r="C10" s="10"/>
      <c r="D10" s="10"/>
      <c r="E10" s="10"/>
      <c r="F10" s="10"/>
      <c r="G10" s="10"/>
      <c r="H10" s="10"/>
      <c r="I10" s="10"/>
      <c r="J10" s="10"/>
      <c r="K10" s="10"/>
      <c r="L10" s="10"/>
      <c r="M10" s="10"/>
      <c r="N10" s="10"/>
    </row>
    <row r="11" spans="2:14" x14ac:dyDescent="0.25">
      <c r="B11" s="3" t="s">
        <v>3</v>
      </c>
      <c r="C11" s="1"/>
      <c r="D11" s="1"/>
      <c r="E11" s="1"/>
      <c r="F11" s="1"/>
      <c r="G11" s="1"/>
      <c r="H11" s="1"/>
      <c r="I11" s="1"/>
      <c r="J11" s="1"/>
      <c r="K11" s="1"/>
      <c r="L11" s="1"/>
      <c r="M11" s="1"/>
      <c r="N11" s="1"/>
    </row>
    <row r="12" spans="2:14" x14ac:dyDescent="0.25">
      <c r="B12" s="3" t="s">
        <v>4</v>
      </c>
      <c r="C12" s="2"/>
      <c r="D12" s="2"/>
      <c r="E12" s="2"/>
      <c r="F12" s="2"/>
      <c r="G12" s="2"/>
      <c r="H12" s="2"/>
      <c r="I12" s="2"/>
      <c r="J12" s="2"/>
      <c r="K12" s="2"/>
      <c r="L12" s="2"/>
      <c r="M12" s="2"/>
      <c r="N12" s="2"/>
    </row>
    <row r="13" spans="2:14" x14ac:dyDescent="0.25">
      <c r="B13" s="3" t="s">
        <v>5</v>
      </c>
      <c r="C13" s="2"/>
      <c r="D13" s="2"/>
      <c r="E13" s="2"/>
      <c r="F13" s="2"/>
      <c r="G13" s="2"/>
      <c r="H13" s="2"/>
      <c r="I13" s="2"/>
      <c r="J13" s="2"/>
      <c r="K13" s="2"/>
      <c r="L13" s="2"/>
      <c r="M13" s="2"/>
      <c r="N13" s="2"/>
    </row>
    <row r="14" spans="2:14" x14ac:dyDescent="0.25">
      <c r="B14" s="3"/>
      <c r="C14" s="2"/>
      <c r="D14" s="2"/>
      <c r="E14" s="2"/>
      <c r="F14" s="2"/>
      <c r="G14" s="2"/>
      <c r="H14" s="2"/>
      <c r="I14" s="2"/>
      <c r="J14" s="2"/>
      <c r="K14" s="2"/>
      <c r="L14" s="2"/>
      <c r="M14" s="2"/>
      <c r="N14" s="2"/>
    </row>
    <row r="15" spans="2:14" ht="37.5" customHeight="1" x14ac:dyDescent="0.25">
      <c r="B15" s="62" t="s">
        <v>96</v>
      </c>
      <c r="C15" s="62"/>
      <c r="D15" s="2"/>
      <c r="E15" s="2"/>
      <c r="F15" s="2"/>
      <c r="G15" s="2"/>
      <c r="H15" s="2"/>
      <c r="I15" s="2"/>
      <c r="J15" s="2"/>
      <c r="K15" s="2"/>
      <c r="L15" s="2"/>
      <c r="M15" s="2"/>
      <c r="N15" s="2"/>
    </row>
    <row r="16" spans="2:14" ht="15.75" x14ac:dyDescent="0.25">
      <c r="B16" s="63" t="s">
        <v>97</v>
      </c>
      <c r="H16" s="20" t="s">
        <v>37</v>
      </c>
      <c r="I16" s="25">
        <v>2400</v>
      </c>
    </row>
    <row r="17" spans="2:9" x14ac:dyDescent="0.25">
      <c r="H17" s="20" t="s">
        <v>98</v>
      </c>
      <c r="I17" s="25">
        <v>400</v>
      </c>
    </row>
    <row r="18" spans="2:9" x14ac:dyDescent="0.25">
      <c r="B18" t="s">
        <v>99</v>
      </c>
      <c r="F18" s="64">
        <f>(I16/I20)*I21</f>
        <v>1500</v>
      </c>
      <c r="H18" s="20" t="s">
        <v>43</v>
      </c>
      <c r="I18" s="65">
        <v>340</v>
      </c>
    </row>
    <row r="19" spans="2:9" x14ac:dyDescent="0.25">
      <c r="B19" t="s">
        <v>100</v>
      </c>
      <c r="F19" s="64">
        <f>((I20/2)+I17)*I18*I19</f>
        <v>44200</v>
      </c>
      <c r="H19" s="20" t="s">
        <v>44</v>
      </c>
      <c r="I19" s="25">
        <v>0.25</v>
      </c>
    </row>
    <row r="20" spans="2:9" x14ac:dyDescent="0.25">
      <c r="B20" s="35" t="s">
        <v>101</v>
      </c>
      <c r="C20" s="35"/>
      <c r="D20" s="35"/>
      <c r="E20" s="35"/>
      <c r="F20" s="66">
        <f>I18*I16</f>
        <v>816000</v>
      </c>
      <c r="H20" s="67" t="s">
        <v>102</v>
      </c>
      <c r="I20" s="68">
        <v>240</v>
      </c>
    </row>
    <row r="21" spans="2:9" ht="15.75" x14ac:dyDescent="0.25">
      <c r="B21" s="69" t="s">
        <v>103</v>
      </c>
      <c r="C21" s="70"/>
      <c r="D21" s="70"/>
      <c r="E21" s="70"/>
      <c r="F21" s="71">
        <f>SUM(F18:F20)</f>
        <v>861700</v>
      </c>
      <c r="H21" s="20" t="s">
        <v>42</v>
      </c>
      <c r="I21" s="25">
        <v>150</v>
      </c>
    </row>
    <row r="22" spans="2:9" ht="15.75" x14ac:dyDescent="0.25">
      <c r="B22" s="4"/>
      <c r="C22" s="4"/>
      <c r="D22" s="4"/>
      <c r="E22" s="4"/>
      <c r="F22" s="72"/>
      <c r="H22" s="20"/>
      <c r="I22" s="25"/>
    </row>
    <row r="23" spans="2:9" ht="15.75" x14ac:dyDescent="0.25">
      <c r="B23" s="63" t="s">
        <v>104</v>
      </c>
      <c r="H23" s="20" t="s">
        <v>37</v>
      </c>
      <c r="I23" s="25">
        <v>2400</v>
      </c>
    </row>
    <row r="24" spans="2:9" x14ac:dyDescent="0.25">
      <c r="H24" s="20" t="s">
        <v>98</v>
      </c>
      <c r="I24" s="25">
        <v>400</v>
      </c>
    </row>
    <row r="25" spans="2:9" x14ac:dyDescent="0.25">
      <c r="B25" t="s">
        <v>99</v>
      </c>
      <c r="F25" s="64">
        <f>(I23/I27)*I28</f>
        <v>300</v>
      </c>
      <c r="H25" s="20" t="s">
        <v>43</v>
      </c>
      <c r="I25" s="65">
        <f>I18*0.95</f>
        <v>323</v>
      </c>
    </row>
    <row r="26" spans="2:9" x14ac:dyDescent="0.25">
      <c r="B26" t="s">
        <v>100</v>
      </c>
      <c r="F26" s="64">
        <f>((I27/2)+I24)*I25*I26</f>
        <v>80750</v>
      </c>
      <c r="H26" s="20" t="s">
        <v>44</v>
      </c>
      <c r="I26" s="25">
        <v>0.25</v>
      </c>
    </row>
    <row r="27" spans="2:9" x14ac:dyDescent="0.25">
      <c r="B27" s="35" t="s">
        <v>101</v>
      </c>
      <c r="C27" s="35"/>
      <c r="D27" s="35"/>
      <c r="E27" s="35"/>
      <c r="F27" s="66">
        <f>I25*I23</f>
        <v>775200</v>
      </c>
      <c r="H27" s="67" t="s">
        <v>102</v>
      </c>
      <c r="I27" s="68">
        <v>1200</v>
      </c>
    </row>
    <row r="28" spans="2:9" ht="15.75" x14ac:dyDescent="0.25">
      <c r="B28" s="69" t="s">
        <v>103</v>
      </c>
      <c r="C28" s="70"/>
      <c r="D28" s="70"/>
      <c r="E28" s="70"/>
      <c r="F28" s="71">
        <f>SUM(F25:F27)</f>
        <v>856250</v>
      </c>
      <c r="H28" s="20" t="s">
        <v>42</v>
      </c>
      <c r="I28" s="25">
        <v>150</v>
      </c>
    </row>
    <row r="29" spans="2:9" ht="15.75" x14ac:dyDescent="0.25">
      <c r="B29" s="4"/>
      <c r="C29" s="4"/>
      <c r="D29" s="4"/>
      <c r="E29" s="4"/>
      <c r="F29" s="72"/>
      <c r="H29" s="20"/>
      <c r="I29" s="25"/>
    </row>
    <row r="30" spans="2:9" ht="18.75" x14ac:dyDescent="0.3">
      <c r="B30" s="73" t="s">
        <v>105</v>
      </c>
      <c r="C30" s="73"/>
      <c r="D30" s="73"/>
      <c r="E30" s="73"/>
      <c r="F30" s="74">
        <f>F21-F28</f>
        <v>5450</v>
      </c>
      <c r="G30" s="75" t="s">
        <v>106</v>
      </c>
      <c r="H30" s="20"/>
      <c r="I30" s="25"/>
    </row>
    <row r="31" spans="2:9" x14ac:dyDescent="0.25">
      <c r="H31" s="20"/>
      <c r="I31" s="25"/>
    </row>
    <row r="32" spans="2:9" ht="15.75" x14ac:dyDescent="0.25">
      <c r="B32" s="63" t="s">
        <v>107</v>
      </c>
      <c r="H32" s="20" t="s">
        <v>37</v>
      </c>
      <c r="I32" s="25">
        <v>2400</v>
      </c>
    </row>
    <row r="33" spans="2:15" x14ac:dyDescent="0.25">
      <c r="H33" s="20" t="s">
        <v>98</v>
      </c>
      <c r="I33" s="25">
        <v>0</v>
      </c>
    </row>
    <row r="34" spans="2:15" x14ac:dyDescent="0.25">
      <c r="B34" t="s">
        <v>99</v>
      </c>
      <c r="F34" s="64">
        <f>(I32/I36)*I37</f>
        <v>7800</v>
      </c>
      <c r="H34" s="20" t="s">
        <v>43</v>
      </c>
      <c r="I34" s="65">
        <v>400</v>
      </c>
    </row>
    <row r="35" spans="2:15" x14ac:dyDescent="0.25">
      <c r="B35" t="s">
        <v>100</v>
      </c>
      <c r="F35" s="64">
        <f>((I36/2)+I33)*I34*I35</f>
        <v>2307.6923076923076</v>
      </c>
      <c r="H35" s="20" t="s">
        <v>44</v>
      </c>
      <c r="I35" s="25">
        <v>0.25</v>
      </c>
    </row>
    <row r="36" spans="2:15" x14ac:dyDescent="0.25">
      <c r="B36" s="35" t="s">
        <v>101</v>
      </c>
      <c r="C36" s="35"/>
      <c r="D36" s="35"/>
      <c r="E36" s="35"/>
      <c r="F36" s="66">
        <f>I34*I32</f>
        <v>960000</v>
      </c>
      <c r="H36" s="67" t="s">
        <v>102</v>
      </c>
      <c r="I36" s="76">
        <f>I32/52</f>
        <v>46.153846153846153</v>
      </c>
    </row>
    <row r="37" spans="2:15" ht="18.75" x14ac:dyDescent="0.3">
      <c r="B37" s="73" t="s">
        <v>103</v>
      </c>
      <c r="C37" s="73"/>
      <c r="D37" s="73"/>
      <c r="E37" s="73"/>
      <c r="F37" s="74">
        <f>SUM(F34:F36)</f>
        <v>970107.69230769225</v>
      </c>
      <c r="G37" s="75" t="s">
        <v>106</v>
      </c>
      <c r="H37" s="20" t="s">
        <v>42</v>
      </c>
      <c r="I37" s="25">
        <v>150</v>
      </c>
    </row>
    <row r="39" spans="2:15" ht="15.75" x14ac:dyDescent="0.25">
      <c r="B39" s="63" t="s">
        <v>108</v>
      </c>
      <c r="H39" s="20" t="s">
        <v>37</v>
      </c>
      <c r="I39" s="25">
        <v>2400</v>
      </c>
    </row>
    <row r="40" spans="2:15" x14ac:dyDescent="0.25">
      <c r="H40" s="20" t="s">
        <v>98</v>
      </c>
      <c r="I40" s="25">
        <v>400</v>
      </c>
    </row>
    <row r="41" spans="2:15" x14ac:dyDescent="0.25">
      <c r="B41" t="s">
        <v>99</v>
      </c>
      <c r="F41" s="64">
        <f>(I39/I43)*I44</f>
        <v>1500</v>
      </c>
      <c r="H41" s="20" t="s">
        <v>43</v>
      </c>
      <c r="I41" s="77">
        <f>J53</f>
        <v>305.94071146245057</v>
      </c>
      <c r="J41" s="78" t="s">
        <v>109</v>
      </c>
      <c r="O41" s="79">
        <f>F48</f>
        <v>86170</v>
      </c>
    </row>
    <row r="42" spans="2:15" x14ac:dyDescent="0.25">
      <c r="B42" t="s">
        <v>100</v>
      </c>
      <c r="F42" s="64">
        <f>((I43/2)+I40)*I41*I42</f>
        <v>39772.292490118576</v>
      </c>
      <c r="H42" s="20" t="s">
        <v>44</v>
      </c>
      <c r="I42" s="25">
        <v>0.25</v>
      </c>
    </row>
    <row r="43" spans="2:15" x14ac:dyDescent="0.25">
      <c r="B43" s="35" t="s">
        <v>101</v>
      </c>
      <c r="C43" s="35"/>
      <c r="D43" s="35"/>
      <c r="E43" s="35"/>
      <c r="F43" s="66">
        <f>I41*I39</f>
        <v>734257.70750988135</v>
      </c>
      <c r="H43" s="67" t="s">
        <v>102</v>
      </c>
      <c r="I43" s="76">
        <f>I39/10</f>
        <v>240</v>
      </c>
    </row>
    <row r="44" spans="2:15" ht="18.75" x14ac:dyDescent="0.3">
      <c r="B44" s="73" t="s">
        <v>103</v>
      </c>
      <c r="C44" s="73"/>
      <c r="D44" s="73"/>
      <c r="E44" s="73"/>
      <c r="F44" s="74">
        <f>F47</f>
        <v>775530</v>
      </c>
      <c r="H44" s="20" t="s">
        <v>42</v>
      </c>
      <c r="I44" s="25">
        <v>150</v>
      </c>
    </row>
    <row r="46" spans="2:15" x14ac:dyDescent="0.25">
      <c r="B46" t="s">
        <v>110</v>
      </c>
      <c r="F46" s="80">
        <f>F21</f>
        <v>861700</v>
      </c>
      <c r="G46" s="78" t="s">
        <v>111</v>
      </c>
    </row>
    <row r="47" spans="2:15" x14ac:dyDescent="0.25">
      <c r="B47" t="s">
        <v>112</v>
      </c>
      <c r="F47" s="79">
        <f>F46*0.9</f>
        <v>775530</v>
      </c>
    </row>
    <row r="48" spans="2:15" x14ac:dyDescent="0.25">
      <c r="B48" s="37" t="s">
        <v>113</v>
      </c>
      <c r="C48" s="37"/>
      <c r="D48" s="37"/>
      <c r="E48" s="37"/>
      <c r="F48" s="81">
        <f>F46-F47</f>
        <v>86170</v>
      </c>
      <c r="K48" s="25" t="s">
        <v>114</v>
      </c>
      <c r="L48" s="25" t="s">
        <v>115</v>
      </c>
      <c r="M48" s="25" t="s">
        <v>116</v>
      </c>
      <c r="N48" s="82" t="s">
        <v>117</v>
      </c>
      <c r="O48" s="82"/>
    </row>
    <row r="49" spans="7:15" x14ac:dyDescent="0.25">
      <c r="H49" t="s">
        <v>100</v>
      </c>
      <c r="K49" s="25">
        <f>(I43/2)+I40</f>
        <v>520</v>
      </c>
      <c r="L49" s="25" t="s">
        <v>118</v>
      </c>
      <c r="M49" s="25">
        <f>I42</f>
        <v>0.25</v>
      </c>
      <c r="N49">
        <f>K49*M49</f>
        <v>130</v>
      </c>
      <c r="O49" t="s">
        <v>118</v>
      </c>
    </row>
    <row r="50" spans="7:15" x14ac:dyDescent="0.25">
      <c r="H50" t="s">
        <v>101</v>
      </c>
      <c r="L50" s="25" t="s">
        <v>118</v>
      </c>
      <c r="M50" s="25">
        <f>I39</f>
        <v>2400</v>
      </c>
      <c r="N50" s="35">
        <v>2400</v>
      </c>
      <c r="O50" s="35" t="s">
        <v>118</v>
      </c>
    </row>
    <row r="51" spans="7:15" x14ac:dyDescent="0.25">
      <c r="N51">
        <f>SUM(N49:N50)</f>
        <v>2530</v>
      </c>
      <c r="O51" t="s">
        <v>118</v>
      </c>
    </row>
    <row r="52" spans="7:15" x14ac:dyDescent="0.25">
      <c r="H52">
        <f>N51</f>
        <v>2530</v>
      </c>
      <c r="I52" t="s">
        <v>119</v>
      </c>
      <c r="J52" s="79">
        <f>F44-F41</f>
        <v>774030</v>
      </c>
    </row>
    <row r="53" spans="7:15" ht="15.75" x14ac:dyDescent="0.25">
      <c r="G53" s="75" t="s">
        <v>106</v>
      </c>
      <c r="I53" s="83" t="s">
        <v>120</v>
      </c>
      <c r="J53" s="84">
        <f>J52/H52</f>
        <v>305.94071146245057</v>
      </c>
    </row>
    <row r="54" spans="7:15" ht="15.75" x14ac:dyDescent="0.25">
      <c r="G54" s="75" t="s">
        <v>106</v>
      </c>
      <c r="I54" s="83" t="s">
        <v>121</v>
      </c>
      <c r="J54" s="84">
        <f>(340-J53)*100/340</f>
        <v>10.017437805161599</v>
      </c>
    </row>
  </sheetData>
  <mergeCells count="3">
    <mergeCell ref="B1:N10"/>
    <mergeCell ref="B15:C15"/>
    <mergeCell ref="N48:O4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7453F-09E1-4B86-B657-F00D1D6148A7}">
  <dimension ref="B1:N39"/>
  <sheetViews>
    <sheetView zoomScaleNormal="100" workbookViewId="0">
      <selection activeCell="J37" sqref="J37"/>
    </sheetView>
  </sheetViews>
  <sheetFormatPr baseColWidth="10" defaultRowHeight="15" x14ac:dyDescent="0.25"/>
  <cols>
    <col min="1" max="1" width="4.5703125" customWidth="1"/>
    <col min="10" max="10" width="13.7109375" customWidth="1"/>
    <col min="11" max="11" width="12" customWidth="1"/>
    <col min="12" max="12" width="15.7109375" customWidth="1"/>
    <col min="13" max="13" width="18.140625" customWidth="1"/>
  </cols>
  <sheetData>
    <row r="1" spans="2:14" ht="15" customHeight="1" x14ac:dyDescent="0.25">
      <c r="B1" s="10" t="s">
        <v>0</v>
      </c>
      <c r="C1" s="10"/>
      <c r="D1" s="10"/>
      <c r="E1" s="10"/>
      <c r="F1" s="10"/>
      <c r="G1" s="10"/>
      <c r="H1" s="10"/>
      <c r="I1" s="10"/>
      <c r="J1" s="10"/>
      <c r="K1" s="10"/>
      <c r="L1" s="10"/>
      <c r="M1" s="10"/>
      <c r="N1" s="10"/>
    </row>
    <row r="2" spans="2:14" x14ac:dyDescent="0.25">
      <c r="B2" s="10"/>
      <c r="C2" s="10"/>
      <c r="D2" s="10"/>
      <c r="E2" s="10"/>
      <c r="F2" s="10"/>
      <c r="G2" s="10"/>
      <c r="H2" s="10"/>
      <c r="I2" s="10"/>
      <c r="J2" s="10"/>
      <c r="K2" s="10"/>
      <c r="L2" s="10"/>
      <c r="M2" s="10"/>
      <c r="N2" s="10"/>
    </row>
    <row r="3" spans="2:14" x14ac:dyDescent="0.25">
      <c r="B3" s="10"/>
      <c r="C3" s="10"/>
      <c r="D3" s="10"/>
      <c r="E3" s="10"/>
      <c r="F3" s="10"/>
      <c r="G3" s="10"/>
      <c r="H3" s="10"/>
      <c r="I3" s="10"/>
      <c r="J3" s="10"/>
      <c r="K3" s="10"/>
      <c r="L3" s="10"/>
      <c r="M3" s="10"/>
      <c r="N3" s="10"/>
    </row>
    <row r="4" spans="2:14" x14ac:dyDescent="0.25">
      <c r="B4" s="10"/>
      <c r="C4" s="10"/>
      <c r="D4" s="10"/>
      <c r="E4" s="10"/>
      <c r="F4" s="10"/>
      <c r="G4" s="10"/>
      <c r="H4" s="10"/>
      <c r="I4" s="10"/>
      <c r="J4" s="10"/>
      <c r="K4" s="10"/>
      <c r="L4" s="10"/>
      <c r="M4" s="10"/>
      <c r="N4" s="10"/>
    </row>
    <row r="5" spans="2:14" x14ac:dyDescent="0.25">
      <c r="B5" s="10"/>
      <c r="C5" s="10"/>
      <c r="D5" s="10"/>
      <c r="E5" s="10"/>
      <c r="F5" s="10"/>
      <c r="G5" s="10"/>
      <c r="H5" s="10"/>
      <c r="I5" s="10"/>
      <c r="J5" s="10"/>
      <c r="K5" s="10"/>
      <c r="L5" s="10"/>
      <c r="M5" s="10"/>
      <c r="N5" s="10"/>
    </row>
    <row r="6" spans="2:14" x14ac:dyDescent="0.25">
      <c r="B6" s="10"/>
      <c r="C6" s="10"/>
      <c r="D6" s="10"/>
      <c r="E6" s="10"/>
      <c r="F6" s="10"/>
      <c r="G6" s="10"/>
      <c r="H6" s="10"/>
      <c r="I6" s="10"/>
      <c r="J6" s="10"/>
      <c r="K6" s="10"/>
      <c r="L6" s="10"/>
      <c r="M6" s="10"/>
      <c r="N6" s="10"/>
    </row>
    <row r="7" spans="2:14" x14ac:dyDescent="0.25">
      <c r="B7" s="10"/>
      <c r="C7" s="10"/>
      <c r="D7" s="10"/>
      <c r="E7" s="10"/>
      <c r="F7" s="10"/>
      <c r="G7" s="10"/>
      <c r="H7" s="10"/>
      <c r="I7" s="10"/>
      <c r="J7" s="10"/>
      <c r="K7" s="10"/>
      <c r="L7" s="10"/>
      <c r="M7" s="10"/>
      <c r="N7" s="10"/>
    </row>
    <row r="8" spans="2:14" x14ac:dyDescent="0.25">
      <c r="B8" s="10"/>
      <c r="C8" s="10"/>
      <c r="D8" s="10"/>
      <c r="E8" s="10"/>
      <c r="F8" s="10"/>
      <c r="G8" s="10"/>
      <c r="H8" s="10"/>
      <c r="I8" s="10"/>
      <c r="J8" s="10"/>
      <c r="K8" s="10"/>
      <c r="L8" s="10"/>
      <c r="M8" s="10"/>
      <c r="N8" s="10"/>
    </row>
    <row r="9" spans="2:14" x14ac:dyDescent="0.25">
      <c r="B9" s="10"/>
      <c r="C9" s="10"/>
      <c r="D9" s="10"/>
      <c r="E9" s="10"/>
      <c r="F9" s="10"/>
      <c r="G9" s="10"/>
      <c r="H9" s="10"/>
      <c r="I9" s="10"/>
      <c r="J9" s="10"/>
      <c r="K9" s="10"/>
      <c r="L9" s="10"/>
      <c r="M9" s="10"/>
      <c r="N9" s="10"/>
    </row>
    <row r="10" spans="2:14" ht="15" customHeight="1" x14ac:dyDescent="0.25">
      <c r="B10" s="10" t="s">
        <v>2</v>
      </c>
      <c r="C10" s="10"/>
      <c r="D10" s="10"/>
      <c r="E10" s="10"/>
      <c r="F10" s="10"/>
      <c r="G10" s="10"/>
      <c r="H10" s="10"/>
      <c r="I10" s="10"/>
      <c r="J10" s="10"/>
      <c r="K10" s="10"/>
      <c r="L10" s="10"/>
      <c r="M10" s="10"/>
      <c r="N10" s="10"/>
    </row>
    <row r="11" spans="2:14" x14ac:dyDescent="0.25">
      <c r="B11" s="10"/>
      <c r="C11" s="10"/>
      <c r="D11" s="10"/>
      <c r="E11" s="10"/>
      <c r="F11" s="10"/>
      <c r="G11" s="10"/>
      <c r="H11" s="10"/>
      <c r="I11" s="10"/>
      <c r="J11" s="10"/>
      <c r="K11" s="10"/>
      <c r="L11" s="10"/>
      <c r="M11" s="10"/>
      <c r="N11" s="10"/>
    </row>
    <row r="12" spans="2:14" x14ac:dyDescent="0.25">
      <c r="B12" s="10"/>
      <c r="C12" s="10"/>
      <c r="D12" s="10"/>
      <c r="E12" s="10"/>
      <c r="F12" s="10"/>
      <c r="G12" s="10"/>
      <c r="H12" s="10"/>
      <c r="I12" s="10"/>
      <c r="J12" s="10"/>
      <c r="K12" s="10"/>
      <c r="L12" s="10"/>
      <c r="M12" s="10"/>
      <c r="N12" s="10"/>
    </row>
    <row r="13" spans="2:14" x14ac:dyDescent="0.25">
      <c r="B13" s="10"/>
      <c r="C13" s="10"/>
      <c r="D13" s="10"/>
      <c r="E13" s="10"/>
      <c r="F13" s="10"/>
      <c r="G13" s="10"/>
      <c r="H13" s="10"/>
      <c r="I13" s="10"/>
      <c r="J13" s="10"/>
      <c r="K13" s="10"/>
      <c r="L13" s="10"/>
      <c r="M13" s="10"/>
      <c r="N13" s="10"/>
    </row>
    <row r="14" spans="2:14" x14ac:dyDescent="0.25">
      <c r="B14" s="10"/>
      <c r="C14" s="10"/>
      <c r="D14" s="10"/>
      <c r="E14" s="10"/>
      <c r="F14" s="10"/>
      <c r="G14" s="10"/>
      <c r="H14" s="10"/>
      <c r="I14" s="10"/>
      <c r="J14" s="10"/>
      <c r="K14" s="10"/>
      <c r="L14" s="10"/>
      <c r="M14" s="10"/>
      <c r="N14" s="10"/>
    </row>
    <row r="15" spans="2:14" x14ac:dyDescent="0.25">
      <c r="B15" s="10"/>
      <c r="C15" s="10"/>
      <c r="D15" s="10"/>
      <c r="E15" s="10"/>
      <c r="F15" s="10"/>
      <c r="G15" s="10"/>
      <c r="H15" s="10"/>
      <c r="I15" s="10"/>
      <c r="J15" s="10"/>
      <c r="K15" s="10"/>
      <c r="L15" s="10"/>
      <c r="M15" s="10"/>
      <c r="N15" s="10"/>
    </row>
    <row r="16" spans="2:14" x14ac:dyDescent="0.25">
      <c r="B16" s="1"/>
      <c r="C16" s="1"/>
      <c r="D16" s="1"/>
      <c r="E16" s="1"/>
      <c r="F16" s="1"/>
      <c r="G16" s="1"/>
      <c r="H16" s="1"/>
      <c r="I16" s="1"/>
      <c r="J16" s="1"/>
      <c r="K16" s="1"/>
      <c r="L16" s="1"/>
      <c r="M16" s="1"/>
      <c r="N16" s="1"/>
    </row>
    <row r="17" spans="2:13" x14ac:dyDescent="0.25">
      <c r="B17" t="s">
        <v>1</v>
      </c>
    </row>
    <row r="19" spans="2:13" ht="47.25" x14ac:dyDescent="0.25">
      <c r="B19" s="119"/>
      <c r="C19" s="119"/>
      <c r="D19" s="119"/>
      <c r="E19" s="119"/>
      <c r="F19" s="119"/>
      <c r="G19" s="120" t="s">
        <v>151</v>
      </c>
      <c r="H19" s="120" t="s">
        <v>115</v>
      </c>
      <c r="I19" s="120"/>
      <c r="J19" s="120" t="s">
        <v>152</v>
      </c>
      <c r="K19" s="120" t="s">
        <v>153</v>
      </c>
      <c r="L19" s="120" t="s">
        <v>154</v>
      </c>
      <c r="M19" s="120" t="s">
        <v>155</v>
      </c>
    </row>
    <row r="20" spans="2:13" ht="18.75" x14ac:dyDescent="0.3">
      <c r="B20" s="67" t="s">
        <v>37</v>
      </c>
      <c r="C20" s="68">
        <v>1000</v>
      </c>
      <c r="D20" s="37" t="s">
        <v>156</v>
      </c>
      <c r="G20" s="31">
        <v>46</v>
      </c>
      <c r="H20" s="31">
        <v>2000</v>
      </c>
      <c r="I20" s="121" t="s">
        <v>157</v>
      </c>
      <c r="J20" s="122">
        <f>(C20/G20)*C22</f>
        <v>5434.782608695652</v>
      </c>
      <c r="K20" s="122">
        <f>(G20/2)*H20*C23</f>
        <v>5520</v>
      </c>
      <c r="L20" s="122">
        <f>H20*C20</f>
        <v>2000000</v>
      </c>
      <c r="M20" s="123">
        <f>J20+K20+L20</f>
        <v>2010954.7826086956</v>
      </c>
    </row>
    <row r="21" spans="2:13" ht="18.75" x14ac:dyDescent="0.3">
      <c r="B21" s="67" t="s">
        <v>43</v>
      </c>
      <c r="C21" s="68">
        <v>2000</v>
      </c>
      <c r="D21" s="37"/>
      <c r="G21" s="31">
        <v>50</v>
      </c>
      <c r="H21" s="31">
        <f>H20*0.97</f>
        <v>1940</v>
      </c>
      <c r="I21" s="121" t="s">
        <v>158</v>
      </c>
      <c r="J21" s="122">
        <f>(C20/G21)*C22</f>
        <v>5000</v>
      </c>
      <c r="K21" s="122">
        <f>(G21/2)*H21*C23</f>
        <v>5820</v>
      </c>
      <c r="L21" s="122">
        <f>H21*C20</f>
        <v>1940000</v>
      </c>
      <c r="M21" s="123">
        <f>J21+K21+L21</f>
        <v>1950820</v>
      </c>
    </row>
    <row r="22" spans="2:13" ht="18.75" x14ac:dyDescent="0.3">
      <c r="B22" s="67" t="s">
        <v>42</v>
      </c>
      <c r="C22" s="68">
        <v>250</v>
      </c>
      <c r="D22" s="37"/>
      <c r="G22" s="31">
        <v>100</v>
      </c>
      <c r="H22" s="31">
        <f>0.95*H20</f>
        <v>1900</v>
      </c>
      <c r="I22" s="121" t="s">
        <v>159</v>
      </c>
      <c r="J22" s="122">
        <f>(C20/G22)*C22</f>
        <v>2500</v>
      </c>
      <c r="K22" s="122">
        <f>(G22/2)*H22*C23</f>
        <v>11400</v>
      </c>
      <c r="L22" s="122">
        <f>H22*C20</f>
        <v>1900000</v>
      </c>
      <c r="M22" s="123">
        <f>J22+K22+L22</f>
        <v>1913900</v>
      </c>
    </row>
    <row r="23" spans="2:13" x14ac:dyDescent="0.25">
      <c r="B23" s="67" t="s">
        <v>44</v>
      </c>
      <c r="C23" s="68">
        <v>0.12</v>
      </c>
      <c r="D23" s="37"/>
    </row>
    <row r="25" spans="2:13" ht="15.75" x14ac:dyDescent="0.25">
      <c r="B25" s="124" t="s">
        <v>160</v>
      </c>
      <c r="E25" s="125" t="s">
        <v>161</v>
      </c>
      <c r="F25" s="23">
        <f>SQRT((2*C20*C22)/(C21*C23))</f>
        <v>45.643546458763844</v>
      </c>
      <c r="G25" s="126" t="s">
        <v>162</v>
      </c>
    </row>
    <row r="26" spans="2:13" ht="15.75" x14ac:dyDescent="0.25">
      <c r="E26" s="125" t="s">
        <v>163</v>
      </c>
      <c r="F26" s="23">
        <f>SQRT((2*C20*C22)/(H21*C23))</f>
        <v>46.343999860004047</v>
      </c>
      <c r="G26" s="126" t="s">
        <v>164</v>
      </c>
    </row>
    <row r="27" spans="2:13" ht="15.75" x14ac:dyDescent="0.25">
      <c r="E27" s="125" t="s">
        <v>165</v>
      </c>
      <c r="F27" s="23">
        <f>SQRT((2*C20*C22)/(H22*C23))</f>
        <v>46.829290579084699</v>
      </c>
      <c r="G27" s="126" t="s">
        <v>166</v>
      </c>
    </row>
    <row r="28" spans="2:13" x14ac:dyDescent="0.25">
      <c r="G28" s="126" t="s">
        <v>167</v>
      </c>
    </row>
    <row r="30" spans="2:13" x14ac:dyDescent="0.25">
      <c r="B30" s="16" t="s">
        <v>168</v>
      </c>
    </row>
    <row r="32" spans="2:13" x14ac:dyDescent="0.25">
      <c r="B32" t="s">
        <v>169</v>
      </c>
      <c r="G32" t="s">
        <v>170</v>
      </c>
      <c r="J32" s="5">
        <f>(20000000/20)/1000</f>
        <v>1000</v>
      </c>
    </row>
    <row r="33" spans="5:12" x14ac:dyDescent="0.25">
      <c r="G33" t="s">
        <v>171</v>
      </c>
      <c r="J33" s="5">
        <v>250</v>
      </c>
    </row>
    <row r="34" spans="5:12" x14ac:dyDescent="0.25">
      <c r="G34" t="s">
        <v>172</v>
      </c>
      <c r="J34" s="5">
        <v>10.5</v>
      </c>
    </row>
    <row r="35" spans="5:12" x14ac:dyDescent="0.25">
      <c r="G35" t="s">
        <v>6</v>
      </c>
      <c r="J35" s="5">
        <v>33.5</v>
      </c>
    </row>
    <row r="36" spans="5:12" x14ac:dyDescent="0.25">
      <c r="G36" s="127" t="s">
        <v>7</v>
      </c>
      <c r="H36" s="127"/>
      <c r="I36" s="127"/>
      <c r="J36" s="36">
        <f>SUM(J33:J34)*0.4</f>
        <v>104.2</v>
      </c>
      <c r="K36" s="126" t="s">
        <v>173</v>
      </c>
    </row>
    <row r="37" spans="5:12" x14ac:dyDescent="0.25">
      <c r="J37" s="128">
        <f>SUM(J32:J36)</f>
        <v>1398.2</v>
      </c>
    </row>
    <row r="39" spans="5:12" ht="18.75" x14ac:dyDescent="0.3">
      <c r="E39" s="69" t="s">
        <v>174</v>
      </c>
      <c r="F39" s="85"/>
      <c r="G39" s="85"/>
      <c r="H39" s="85"/>
      <c r="I39" s="85"/>
      <c r="J39" s="129">
        <f>J37*1000</f>
        <v>1398200</v>
      </c>
      <c r="K39" s="129"/>
      <c r="L39" s="126" t="s">
        <v>175</v>
      </c>
    </row>
  </sheetData>
  <mergeCells count="3">
    <mergeCell ref="B1:N9"/>
    <mergeCell ref="B10:N15"/>
    <mergeCell ref="J39:K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FAB6B-189D-4C06-AEE9-824994F0B4BF}">
  <dimension ref="B1:N27"/>
  <sheetViews>
    <sheetView workbookViewId="0">
      <selection activeCell="M22" sqref="M22"/>
    </sheetView>
  </sheetViews>
  <sheetFormatPr baseColWidth="10" defaultRowHeight="15" x14ac:dyDescent="0.25"/>
  <cols>
    <col min="1" max="1" width="7.140625" customWidth="1"/>
    <col min="6" max="6" width="15.7109375" customWidth="1"/>
    <col min="7" max="7" width="14.42578125" customWidth="1"/>
    <col min="8" max="8" width="16.5703125" customWidth="1"/>
  </cols>
  <sheetData>
    <row r="1" spans="2:14" ht="15" customHeight="1" x14ac:dyDescent="0.25">
      <c r="B1" s="12" t="s">
        <v>13</v>
      </c>
      <c r="C1" s="12"/>
      <c r="D1" s="12"/>
      <c r="E1" s="12"/>
      <c r="F1" s="12"/>
      <c r="G1" s="12"/>
      <c r="H1" s="12"/>
      <c r="I1" s="12"/>
      <c r="J1" s="12"/>
      <c r="K1" s="12"/>
      <c r="L1" s="12"/>
      <c r="M1" s="12"/>
      <c r="N1" s="12"/>
    </row>
    <row r="2" spans="2:14" x14ac:dyDescent="0.25">
      <c r="B2" s="12"/>
      <c r="C2" s="12"/>
      <c r="D2" s="12"/>
      <c r="E2" s="12"/>
      <c r="F2" s="12"/>
      <c r="G2" s="12"/>
      <c r="H2" s="12"/>
      <c r="I2" s="12"/>
      <c r="J2" s="12"/>
      <c r="K2" s="12"/>
      <c r="L2" s="12"/>
      <c r="M2" s="12"/>
      <c r="N2" s="12"/>
    </row>
    <row r="3" spans="2:14" x14ac:dyDescent="0.25">
      <c r="B3" s="12"/>
      <c r="C3" s="12"/>
      <c r="D3" s="12"/>
      <c r="E3" s="12"/>
      <c r="F3" s="12"/>
      <c r="G3" s="12"/>
      <c r="H3" s="12"/>
      <c r="I3" s="12"/>
      <c r="J3" s="12"/>
      <c r="K3" s="12"/>
      <c r="L3" s="12"/>
      <c r="M3" s="12"/>
      <c r="N3" s="12"/>
    </row>
    <row r="4" spans="2:14" x14ac:dyDescent="0.25">
      <c r="B4" s="12"/>
      <c r="C4" s="12"/>
      <c r="D4" s="12"/>
      <c r="E4" s="12"/>
      <c r="F4" s="12"/>
      <c r="G4" s="12"/>
      <c r="H4" s="12"/>
      <c r="I4" s="12"/>
      <c r="J4" s="12"/>
      <c r="K4" s="12"/>
      <c r="L4" s="12"/>
      <c r="M4" s="12"/>
      <c r="N4" s="12"/>
    </row>
    <row r="5" spans="2:14" x14ac:dyDescent="0.25">
      <c r="B5" s="12"/>
      <c r="C5" s="12"/>
      <c r="D5" s="12"/>
      <c r="E5" s="12"/>
      <c r="F5" s="12"/>
      <c r="G5" s="12"/>
      <c r="H5" s="12"/>
      <c r="I5" s="12"/>
      <c r="J5" s="12"/>
      <c r="K5" s="12"/>
      <c r="L5" s="12"/>
      <c r="M5" s="12"/>
      <c r="N5" s="12"/>
    </row>
    <row r="6" spans="2:14" x14ac:dyDescent="0.25">
      <c r="B6" s="12"/>
      <c r="C6" s="12"/>
      <c r="D6" s="12"/>
      <c r="E6" s="12"/>
      <c r="F6" s="12"/>
      <c r="G6" s="12"/>
      <c r="H6" s="12"/>
      <c r="I6" s="12"/>
      <c r="J6" s="12"/>
      <c r="K6" s="12"/>
      <c r="L6" s="12"/>
      <c r="M6" s="12"/>
      <c r="N6" s="12"/>
    </row>
    <row r="8" spans="2:14" x14ac:dyDescent="0.25">
      <c r="B8" t="s">
        <v>14</v>
      </c>
    </row>
    <row r="9" spans="2:14" x14ac:dyDescent="0.25">
      <c r="B9" t="s">
        <v>15</v>
      </c>
      <c r="E9" s="6">
        <v>40</v>
      </c>
      <c r="F9" t="s">
        <v>16</v>
      </c>
    </row>
    <row r="10" spans="2:14" x14ac:dyDescent="0.25">
      <c r="B10" t="s">
        <v>17</v>
      </c>
      <c r="E10" s="6">
        <v>15</v>
      </c>
      <c r="F10" t="s">
        <v>16</v>
      </c>
    </row>
    <row r="11" spans="2:14" x14ac:dyDescent="0.25">
      <c r="B11" t="s">
        <v>18</v>
      </c>
      <c r="E11" s="6">
        <v>20</v>
      </c>
      <c r="F11" t="s">
        <v>16</v>
      </c>
    </row>
    <row r="12" spans="2:14" x14ac:dyDescent="0.25">
      <c r="B12" t="s">
        <v>19</v>
      </c>
      <c r="E12" s="7">
        <v>0.4</v>
      </c>
      <c r="F12" t="s">
        <v>20</v>
      </c>
    </row>
    <row r="14" spans="2:14" x14ac:dyDescent="0.25">
      <c r="B14" s="20" t="s">
        <v>37</v>
      </c>
      <c r="C14" s="25">
        <v>15000</v>
      </c>
      <c r="F14" t="s">
        <v>143</v>
      </c>
      <c r="I14" s="106">
        <v>80</v>
      </c>
      <c r="J14" s="107" t="s">
        <v>144</v>
      </c>
      <c r="K14" s="107"/>
      <c r="L14" s="108">
        <f>SQRT((2*$C$14*$C$15)/(I14*$C$16))</f>
        <v>244.94897427831782</v>
      </c>
      <c r="M14" s="83" t="s">
        <v>145</v>
      </c>
      <c r="N14" s="86" t="s">
        <v>36</v>
      </c>
    </row>
    <row r="15" spans="2:14" x14ac:dyDescent="0.25">
      <c r="B15" s="20" t="s">
        <v>42</v>
      </c>
      <c r="C15" s="25">
        <v>40</v>
      </c>
      <c r="F15" t="s">
        <v>146</v>
      </c>
      <c r="I15" s="106">
        <f>I14*0.95</f>
        <v>76</v>
      </c>
      <c r="J15" s="107" t="s">
        <v>144</v>
      </c>
      <c r="K15" s="107"/>
      <c r="L15" s="108">
        <f>SQRT((2*$C$14*$C$15)/(I15*$C$16))</f>
        <v>251.31234497501731</v>
      </c>
      <c r="M15" s="83" t="s">
        <v>145</v>
      </c>
      <c r="N15" s="86" t="s">
        <v>41</v>
      </c>
    </row>
    <row r="16" spans="2:14" x14ac:dyDescent="0.25">
      <c r="B16" s="20" t="s">
        <v>44</v>
      </c>
      <c r="C16" s="25">
        <v>0.25</v>
      </c>
      <c r="F16" t="s">
        <v>147</v>
      </c>
      <c r="I16" s="106">
        <f>I14*0.92</f>
        <v>73.600000000000009</v>
      </c>
      <c r="J16" s="107" t="s">
        <v>144</v>
      </c>
      <c r="K16" s="107"/>
      <c r="L16" s="108">
        <f>SQRT((2*$C$14*$C$15)/(I16*$C$16))</f>
        <v>255.37695922762455</v>
      </c>
      <c r="M16" s="83" t="s">
        <v>145</v>
      </c>
      <c r="N16" s="86" t="s">
        <v>41</v>
      </c>
    </row>
    <row r="19" spans="2:13" x14ac:dyDescent="0.25">
      <c r="B19" s="26"/>
      <c r="C19" s="45" t="s">
        <v>45</v>
      </c>
      <c r="D19" s="45" t="s">
        <v>74</v>
      </c>
      <c r="E19" s="45" t="s">
        <v>75</v>
      </c>
      <c r="F19" s="45" t="s">
        <v>76</v>
      </c>
      <c r="G19" s="45" t="s">
        <v>77</v>
      </c>
      <c r="H19" s="45" t="s">
        <v>50</v>
      </c>
      <c r="J19" t="s">
        <v>15</v>
      </c>
      <c r="L19" s="5"/>
      <c r="M19" s="6">
        <f>E9</f>
        <v>40</v>
      </c>
    </row>
    <row r="20" spans="2:13" ht="15.75" x14ac:dyDescent="0.25">
      <c r="B20" s="29" t="s">
        <v>51</v>
      </c>
      <c r="C20" s="109">
        <v>80</v>
      </c>
      <c r="D20" s="31">
        <v>244.95</v>
      </c>
      <c r="E20" s="110">
        <f>($C$14/D20)*$C$15</f>
        <v>2449.4794856093081</v>
      </c>
      <c r="F20" s="111">
        <f>(D20/2)*C20*$C$16</f>
        <v>2449.5</v>
      </c>
      <c r="G20" s="111">
        <f>C20*$C$14</f>
        <v>1200000</v>
      </c>
      <c r="H20" s="112">
        <f>E20+F20+G20</f>
        <v>1204898.9794856093</v>
      </c>
      <c r="J20" t="s">
        <v>17</v>
      </c>
      <c r="L20" s="5"/>
      <c r="M20" s="6">
        <f>E10</f>
        <v>15</v>
      </c>
    </row>
    <row r="21" spans="2:13" ht="15.75" x14ac:dyDescent="0.25">
      <c r="B21" s="29" t="s">
        <v>52</v>
      </c>
      <c r="C21" s="109">
        <v>76</v>
      </c>
      <c r="D21" s="31">
        <v>1000</v>
      </c>
      <c r="E21" s="110">
        <f>($C$14/D21)*$C$15</f>
        <v>600</v>
      </c>
      <c r="F21" s="111">
        <f>(D21/2)*C21*$C$16</f>
        <v>9500</v>
      </c>
      <c r="G21" s="111">
        <f>C21*$C$14</f>
        <v>1140000</v>
      </c>
      <c r="H21" s="112">
        <f>E21+F21+G21</f>
        <v>1150100</v>
      </c>
      <c r="J21" t="s">
        <v>18</v>
      </c>
      <c r="L21" s="113"/>
      <c r="M21" s="6">
        <f>E11</f>
        <v>20</v>
      </c>
    </row>
    <row r="22" spans="2:13" ht="15.75" x14ac:dyDescent="0.25">
      <c r="B22" s="29" t="s">
        <v>52</v>
      </c>
      <c r="C22" s="109">
        <v>73.599999999999994</v>
      </c>
      <c r="D22" s="31">
        <v>4000</v>
      </c>
      <c r="E22" s="110">
        <f>($C$14/D22)*$C$15</f>
        <v>150</v>
      </c>
      <c r="F22" s="111">
        <f>(D22/2)*C22*$C$16</f>
        <v>36800</v>
      </c>
      <c r="G22" s="111">
        <f>C22*$C$14</f>
        <v>1104000</v>
      </c>
      <c r="H22" s="112">
        <f>E22+F22+G22</f>
        <v>1140950</v>
      </c>
      <c r="J22" s="35" t="s">
        <v>19</v>
      </c>
      <c r="K22" s="35"/>
      <c r="L22" s="114"/>
      <c r="M22" s="115">
        <f>SUM(E9:E10)*0.4</f>
        <v>22</v>
      </c>
    </row>
    <row r="23" spans="2:13" x14ac:dyDescent="0.25">
      <c r="J23" s="37" t="s">
        <v>148</v>
      </c>
      <c r="K23" s="37"/>
      <c r="L23" s="37"/>
      <c r="M23" s="116">
        <f>SUM(M19:M22)</f>
        <v>97</v>
      </c>
    </row>
    <row r="25" spans="2:13" x14ac:dyDescent="0.25">
      <c r="E25" t="s">
        <v>149</v>
      </c>
      <c r="H25" s="6">
        <f>2000000/20</f>
        <v>100000</v>
      </c>
    </row>
    <row r="26" spans="2:13" x14ac:dyDescent="0.25">
      <c r="E26" s="35" t="s">
        <v>150</v>
      </c>
      <c r="F26" s="35"/>
      <c r="G26" s="35"/>
      <c r="H26" s="117">
        <f>M23*C14</f>
        <v>1455000</v>
      </c>
    </row>
    <row r="27" spans="2:13" ht="15.75" x14ac:dyDescent="0.25">
      <c r="H27" s="118">
        <f>SUM(H25:H26)</f>
        <v>1555000</v>
      </c>
    </row>
  </sheetData>
  <mergeCells count="4">
    <mergeCell ref="B1:N6"/>
    <mergeCell ref="J14:K14"/>
    <mergeCell ref="J15:K15"/>
    <mergeCell ref="J16:K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52F20-B77D-4B10-930E-6EFF875F195E}">
  <dimension ref="B1:N25"/>
  <sheetViews>
    <sheetView tabSelected="1" zoomScale="110" zoomScaleNormal="110" workbookViewId="0">
      <selection activeCell="B1" sqref="B1:N7"/>
    </sheetView>
  </sheetViews>
  <sheetFormatPr baseColWidth="10" defaultRowHeight="15" x14ac:dyDescent="0.25"/>
  <cols>
    <col min="1" max="1" width="3.42578125" customWidth="1"/>
    <col min="2" max="2" width="6.42578125" customWidth="1"/>
    <col min="3" max="3" width="10.7109375" customWidth="1"/>
    <col min="4" max="4" width="12.5703125" customWidth="1"/>
    <col min="5" max="5" width="11.42578125" customWidth="1"/>
    <col min="6" max="6" width="11.5703125" customWidth="1"/>
    <col min="7" max="7" width="14.140625" customWidth="1"/>
    <col min="8" max="8" width="14.85546875" customWidth="1"/>
    <col min="9" max="9" width="15.5703125" customWidth="1"/>
    <col min="10" max="10" width="9.42578125" customWidth="1"/>
    <col min="11" max="11" width="13.5703125" customWidth="1"/>
    <col min="12" max="12" width="9.85546875" customWidth="1"/>
    <col min="13" max="13" width="8.85546875" customWidth="1"/>
  </cols>
  <sheetData>
    <row r="1" spans="2:14" ht="15" customHeight="1" x14ac:dyDescent="0.25">
      <c r="B1" s="10" t="s">
        <v>30</v>
      </c>
      <c r="C1" s="10"/>
      <c r="D1" s="10"/>
      <c r="E1" s="10"/>
      <c r="F1" s="10"/>
      <c r="G1" s="10"/>
      <c r="H1" s="10"/>
      <c r="I1" s="10"/>
      <c r="J1" s="10"/>
      <c r="K1" s="10"/>
      <c r="L1" s="10"/>
      <c r="M1" s="10"/>
      <c r="N1" s="10"/>
    </row>
    <row r="2" spans="2:14" x14ac:dyDescent="0.25">
      <c r="B2" s="10"/>
      <c r="C2" s="10"/>
      <c r="D2" s="10"/>
      <c r="E2" s="10"/>
      <c r="F2" s="10"/>
      <c r="G2" s="10"/>
      <c r="H2" s="10"/>
      <c r="I2" s="10"/>
      <c r="J2" s="10"/>
      <c r="K2" s="10"/>
      <c r="L2" s="10"/>
      <c r="M2" s="10"/>
      <c r="N2" s="10"/>
    </row>
    <row r="3" spans="2:14" x14ac:dyDescent="0.25">
      <c r="B3" s="10"/>
      <c r="C3" s="10"/>
      <c r="D3" s="10"/>
      <c r="E3" s="10"/>
      <c r="F3" s="10"/>
      <c r="G3" s="10"/>
      <c r="H3" s="10"/>
      <c r="I3" s="10"/>
      <c r="J3" s="10"/>
      <c r="K3" s="10"/>
      <c r="L3" s="10"/>
      <c r="M3" s="10"/>
      <c r="N3" s="10"/>
    </row>
    <row r="4" spans="2:14" x14ac:dyDescent="0.25">
      <c r="B4" s="10"/>
      <c r="C4" s="10"/>
      <c r="D4" s="10"/>
      <c r="E4" s="10"/>
      <c r="F4" s="10"/>
      <c r="G4" s="10"/>
      <c r="H4" s="10"/>
      <c r="I4" s="10"/>
      <c r="J4" s="10"/>
      <c r="K4" s="10"/>
      <c r="L4" s="10"/>
      <c r="M4" s="10"/>
      <c r="N4" s="10"/>
    </row>
    <row r="5" spans="2:14" x14ac:dyDescent="0.25">
      <c r="B5" s="10"/>
      <c r="C5" s="10"/>
      <c r="D5" s="10"/>
      <c r="E5" s="10"/>
      <c r="F5" s="10"/>
      <c r="G5" s="10"/>
      <c r="H5" s="10"/>
      <c r="I5" s="10"/>
      <c r="J5" s="10"/>
      <c r="K5" s="10"/>
      <c r="L5" s="10"/>
      <c r="M5" s="10"/>
      <c r="N5" s="10"/>
    </row>
    <row r="6" spans="2:14" x14ac:dyDescent="0.25">
      <c r="B6" s="10"/>
      <c r="C6" s="10"/>
      <c r="D6" s="10"/>
      <c r="E6" s="10"/>
      <c r="F6" s="10"/>
      <c r="G6" s="10"/>
      <c r="H6" s="10"/>
      <c r="I6" s="10"/>
      <c r="J6" s="10"/>
      <c r="K6" s="10"/>
      <c r="L6" s="10"/>
      <c r="M6" s="10"/>
      <c r="N6" s="10"/>
    </row>
    <row r="7" spans="2:14" x14ac:dyDescent="0.25">
      <c r="B7" s="10"/>
      <c r="C7" s="10"/>
      <c r="D7" s="10"/>
      <c r="E7" s="10"/>
      <c r="F7" s="10"/>
      <c r="G7" s="10"/>
      <c r="H7" s="10"/>
      <c r="I7" s="10"/>
      <c r="J7" s="10"/>
      <c r="K7" s="10"/>
      <c r="L7" s="10"/>
      <c r="M7" s="10"/>
      <c r="N7" s="10"/>
    </row>
    <row r="8" spans="2:14" x14ac:dyDescent="0.25">
      <c r="B8" s="2"/>
      <c r="C8" s="2"/>
      <c r="D8" s="2"/>
      <c r="E8" s="2"/>
      <c r="F8" s="2"/>
      <c r="G8" s="2"/>
      <c r="H8" s="2"/>
      <c r="I8" s="2"/>
      <c r="J8" s="2"/>
      <c r="K8" s="2"/>
      <c r="L8" s="2"/>
      <c r="M8" s="2"/>
      <c r="N8" s="2"/>
    </row>
    <row r="9" spans="2:14" x14ac:dyDescent="0.25">
      <c r="B9" t="s">
        <v>1</v>
      </c>
    </row>
    <row r="11" spans="2:14" s="2" customFormat="1" ht="30" customHeight="1" x14ac:dyDescent="0.25">
      <c r="B11" s="88" t="s">
        <v>124</v>
      </c>
      <c r="C11" s="89"/>
      <c r="D11" s="90"/>
      <c r="E11" s="91" t="s">
        <v>121</v>
      </c>
      <c r="F11" s="91" t="s">
        <v>125</v>
      </c>
      <c r="I11" s="10" t="s">
        <v>126</v>
      </c>
      <c r="J11" s="10"/>
      <c r="K11" s="10"/>
      <c r="L11" s="10"/>
      <c r="M11" s="10"/>
    </row>
    <row r="12" spans="2:14" x14ac:dyDescent="0.25">
      <c r="B12" s="92" t="s">
        <v>127</v>
      </c>
      <c r="C12" s="93"/>
      <c r="D12" s="93"/>
      <c r="E12" s="94"/>
      <c r="F12" s="95">
        <v>800</v>
      </c>
      <c r="I12" t="s">
        <v>128</v>
      </c>
      <c r="J12">
        <v>400</v>
      </c>
      <c r="K12" t="s">
        <v>129</v>
      </c>
      <c r="L12" s="96">
        <f>J12*48</f>
        <v>19200</v>
      </c>
      <c r="M12" t="s">
        <v>130</v>
      </c>
    </row>
    <row r="13" spans="2:14" x14ac:dyDescent="0.25">
      <c r="B13" s="97" t="s">
        <v>131</v>
      </c>
      <c r="C13" s="35"/>
      <c r="D13" s="35"/>
      <c r="E13" s="98">
        <v>0.05</v>
      </c>
      <c r="F13" s="99">
        <f>F12*0.95</f>
        <v>760</v>
      </c>
      <c r="I13" t="s">
        <v>132</v>
      </c>
      <c r="J13">
        <v>500</v>
      </c>
      <c r="K13" t="s">
        <v>129</v>
      </c>
      <c r="L13" s="96">
        <f t="shared" ref="L13:L15" si="0">J13*48</f>
        <v>24000</v>
      </c>
      <c r="M13" t="s">
        <v>130</v>
      </c>
    </row>
    <row r="14" spans="2:14" x14ac:dyDescent="0.25">
      <c r="I14" t="s">
        <v>133</v>
      </c>
      <c r="J14">
        <v>680</v>
      </c>
      <c r="K14" t="s">
        <v>129</v>
      </c>
      <c r="L14" s="96">
        <f t="shared" si="0"/>
        <v>32640</v>
      </c>
      <c r="M14" t="s">
        <v>130</v>
      </c>
    </row>
    <row r="15" spans="2:14" x14ac:dyDescent="0.25">
      <c r="B15" s="25" t="s">
        <v>134</v>
      </c>
      <c r="C15" s="25">
        <v>300</v>
      </c>
      <c r="F15" s="87" t="s">
        <v>135</v>
      </c>
      <c r="G15" s="100">
        <f>SQRT((2*C18*C15)/(F12*C16))</f>
        <v>77.490644596622118</v>
      </c>
      <c r="H15" s="24" t="s">
        <v>36</v>
      </c>
      <c r="I15" t="s">
        <v>136</v>
      </c>
      <c r="J15">
        <v>1200</v>
      </c>
      <c r="K15" t="s">
        <v>129</v>
      </c>
      <c r="L15" s="101">
        <f t="shared" si="0"/>
        <v>57600</v>
      </c>
      <c r="M15" t="s">
        <v>130</v>
      </c>
    </row>
    <row r="16" spans="2:14" x14ac:dyDescent="0.25">
      <c r="B16" s="25" t="s">
        <v>44</v>
      </c>
      <c r="C16" s="25">
        <v>0.2</v>
      </c>
      <c r="F16" s="87" t="s">
        <v>137</v>
      </c>
      <c r="G16" s="100">
        <f>SQRT((2*C18*C15)/(D23*C16))</f>
        <v>79.503723845258705</v>
      </c>
      <c r="H16" s="24" t="s">
        <v>41</v>
      </c>
      <c r="I16" s="83" t="s">
        <v>138</v>
      </c>
      <c r="J16" s="83"/>
      <c r="K16" s="83"/>
      <c r="L16" s="102">
        <f>SUM(L12:L15)</f>
        <v>133440</v>
      </c>
    </row>
    <row r="17" spans="2:11" x14ac:dyDescent="0.25">
      <c r="B17" s="25" t="s">
        <v>37</v>
      </c>
      <c r="C17" s="103">
        <f>L16*12</f>
        <v>1601280</v>
      </c>
      <c r="D17" t="s">
        <v>130</v>
      </c>
    </row>
    <row r="18" spans="2:11" x14ac:dyDescent="0.25">
      <c r="B18" s="25" t="s">
        <v>37</v>
      </c>
      <c r="C18" s="104">
        <f>C17/1000</f>
        <v>1601.28</v>
      </c>
      <c r="D18" t="s">
        <v>139</v>
      </c>
    </row>
    <row r="19" spans="2:11" x14ac:dyDescent="0.25">
      <c r="B19" s="25"/>
      <c r="C19" s="103"/>
    </row>
    <row r="21" spans="2:11" x14ac:dyDescent="0.25">
      <c r="C21" s="26"/>
      <c r="D21" s="45" t="s">
        <v>45</v>
      </c>
      <c r="E21" s="45" t="s">
        <v>74</v>
      </c>
      <c r="F21" s="45" t="s">
        <v>75</v>
      </c>
      <c r="G21" s="45" t="s">
        <v>76</v>
      </c>
      <c r="H21" s="45" t="s">
        <v>77</v>
      </c>
      <c r="I21" s="45" t="s">
        <v>50</v>
      </c>
    </row>
    <row r="22" spans="2:11" x14ac:dyDescent="0.25">
      <c r="C22" s="46" t="s">
        <v>122</v>
      </c>
      <c r="D22" s="30">
        <f>F12</f>
        <v>800</v>
      </c>
      <c r="E22" s="31">
        <v>78</v>
      </c>
      <c r="F22" s="32">
        <f>(C18/E22)*C15</f>
        <v>6158.7692307692305</v>
      </c>
      <c r="G22" s="33">
        <f>(E22/2)*D22*C16</f>
        <v>6240</v>
      </c>
      <c r="H22" s="33">
        <f>C18*D22</f>
        <v>1281024</v>
      </c>
      <c r="I22" s="47">
        <f>F22+G22+H22</f>
        <v>1293422.7692307692</v>
      </c>
      <c r="J22" s="24" t="s">
        <v>140</v>
      </c>
    </row>
    <row r="23" spans="2:11" x14ac:dyDescent="0.25">
      <c r="C23" s="46" t="s">
        <v>123</v>
      </c>
      <c r="D23" s="30">
        <f>F13</f>
        <v>760</v>
      </c>
      <c r="E23" s="31">
        <v>80</v>
      </c>
      <c r="F23" s="32">
        <f>(C18/E23)*C15</f>
        <v>6004.7999999999993</v>
      </c>
      <c r="G23" s="33">
        <f>(E23/2)*D23*C16</f>
        <v>6080</v>
      </c>
      <c r="H23" s="32">
        <f>C18*D23</f>
        <v>1216972.8</v>
      </c>
      <c r="I23" s="47">
        <f>F23+G23+H23</f>
        <v>1229057.6000000001</v>
      </c>
      <c r="J23" s="24" t="s">
        <v>141</v>
      </c>
      <c r="K23" s="105">
        <f>I22-I23</f>
        <v>64365.169230769156</v>
      </c>
    </row>
    <row r="25" spans="2:11" x14ac:dyDescent="0.25">
      <c r="D25" s="86" t="s">
        <v>142</v>
      </c>
    </row>
  </sheetData>
  <mergeCells count="3">
    <mergeCell ref="B1:N7"/>
    <mergeCell ref="B11:D11"/>
    <mergeCell ref="I11:M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PREG 1</vt:lpstr>
      <vt:lpstr>PREG 2</vt:lpstr>
      <vt:lpstr>PREG 3</vt:lpstr>
      <vt:lpstr>PREG 4</vt:lpstr>
      <vt:lpstr>PREG 5</vt:lpstr>
      <vt:lpstr>PREG 6</vt:lpstr>
      <vt:lpstr>PREG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HP</cp:lastModifiedBy>
  <dcterms:created xsi:type="dcterms:W3CDTF">2020-11-19T08:44:54Z</dcterms:created>
  <dcterms:modified xsi:type="dcterms:W3CDTF">2023-06-09T04:06:13Z</dcterms:modified>
</cp:coreProperties>
</file>